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20730" windowHeight="9690" activeTab="1"/>
  </bookViews>
  <sheets>
    <sheet name="Hoja1" sheetId="1" r:id="rId1"/>
    <sheet name="CONVERTIDOR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13" i="3"/>
  <c r="H4"/>
  <c r="H3"/>
  <c r="D13"/>
  <c r="D12"/>
  <c r="B11"/>
  <c r="C8"/>
  <c r="C7"/>
  <c r="C6"/>
  <c r="C11" s="1"/>
  <c r="B22" i="2"/>
  <c r="B29" s="1"/>
  <c r="B36" s="1"/>
  <c r="B21"/>
  <c r="B28" s="1"/>
  <c r="B35" s="1"/>
  <c r="B20"/>
  <c r="B27" s="1"/>
  <c r="B34" s="1"/>
  <c r="D15"/>
  <c r="D29" s="1"/>
  <c r="D36" s="1"/>
  <c r="C15"/>
  <c r="L15" s="1"/>
  <c r="D14"/>
  <c r="C14"/>
  <c r="F14" s="1"/>
  <c r="D13"/>
  <c r="D20" s="1"/>
  <c r="C13"/>
  <c r="L13" s="1"/>
  <c r="M6"/>
  <c r="L6"/>
  <c r="M5"/>
  <c r="L5"/>
  <c r="M4"/>
  <c r="L4"/>
  <c r="J6"/>
  <c r="J4"/>
  <c r="G6"/>
  <c r="F6"/>
  <c r="I6" s="1"/>
  <c r="G5"/>
  <c r="J5" s="1"/>
  <c r="F5"/>
  <c r="I5" s="1"/>
  <c r="G4"/>
  <c r="F4"/>
  <c r="E6"/>
  <c r="E5"/>
  <c r="E4"/>
  <c r="K5" i="1"/>
  <c r="D10"/>
  <c r="C10"/>
  <c r="B10"/>
  <c r="C9"/>
  <c r="H48"/>
  <c r="D48"/>
  <c r="E48"/>
  <c r="F48" s="1"/>
  <c r="E47"/>
  <c r="F47" s="1"/>
  <c r="G47" s="1"/>
  <c r="E46"/>
  <c r="F46" s="1"/>
  <c r="G46" s="1"/>
  <c r="F45"/>
  <c r="E45"/>
  <c r="G45"/>
  <c r="D44"/>
  <c r="E44"/>
  <c r="F44" s="1"/>
  <c r="E43"/>
  <c r="F43" s="1"/>
  <c r="G43" s="1"/>
  <c r="G42"/>
  <c r="F42"/>
  <c r="E42"/>
  <c r="D42"/>
  <c r="H29"/>
  <c r="H28"/>
  <c r="S18"/>
  <c r="S22"/>
  <c r="K37"/>
  <c r="L30"/>
  <c r="I38"/>
  <c r="I39" s="1"/>
  <c r="I40" s="1"/>
  <c r="L35"/>
  <c r="M35" s="1"/>
  <c r="L34"/>
  <c r="L36" s="1"/>
  <c r="E29"/>
  <c r="F29" s="1"/>
  <c r="P29" s="1"/>
  <c r="Q29" s="1"/>
  <c r="E28"/>
  <c r="F28" s="1"/>
  <c r="P28" s="1"/>
  <c r="E20"/>
  <c r="F20" s="1"/>
  <c r="E19"/>
  <c r="F19" s="1"/>
  <c r="I14"/>
  <c r="J14" s="1"/>
  <c r="L6"/>
  <c r="I13" s="1"/>
  <c r="K13" s="1"/>
  <c r="E6"/>
  <c r="F6" s="1"/>
  <c r="H6" s="1"/>
  <c r="I6" s="1"/>
  <c r="J6" s="1"/>
  <c r="K6" s="1"/>
  <c r="E5"/>
  <c r="F5" s="1"/>
  <c r="G5" s="1"/>
  <c r="E7"/>
  <c r="F7" s="1"/>
  <c r="H7" s="1"/>
  <c r="I7" s="1"/>
  <c r="J7" s="1"/>
  <c r="K7" s="1"/>
  <c r="M7" s="1"/>
  <c r="E4"/>
  <c r="F4" s="1"/>
  <c r="G4" s="1"/>
  <c r="L5"/>
  <c r="I12" s="1"/>
  <c r="K12" s="1"/>
  <c r="L4"/>
  <c r="I11" s="1"/>
  <c r="K11" s="1"/>
  <c r="D11" i="3" l="1"/>
  <c r="C28" i="2"/>
  <c r="C35" s="1"/>
  <c r="C21"/>
  <c r="F21" s="1"/>
  <c r="I21" s="1"/>
  <c r="H4"/>
  <c r="D28"/>
  <c r="D35" s="1"/>
  <c r="M14"/>
  <c r="D21"/>
  <c r="M21" s="1"/>
  <c r="M15"/>
  <c r="N15" s="1"/>
  <c r="D22"/>
  <c r="C22"/>
  <c r="L22" s="1"/>
  <c r="C29"/>
  <c r="C36" s="1"/>
  <c r="D27"/>
  <c r="D34" s="1"/>
  <c r="G13"/>
  <c r="J13" s="1"/>
  <c r="C27"/>
  <c r="C34" s="1"/>
  <c r="C20"/>
  <c r="L20" s="1"/>
  <c r="L14"/>
  <c r="G14"/>
  <c r="J14" s="1"/>
  <c r="E14"/>
  <c r="G15"/>
  <c r="M13"/>
  <c r="N13" s="1"/>
  <c r="I14"/>
  <c r="F15"/>
  <c r="I15" s="1"/>
  <c r="E15"/>
  <c r="E13"/>
  <c r="F13"/>
  <c r="I13" s="1"/>
  <c r="G20"/>
  <c r="J20" s="1"/>
  <c r="M20"/>
  <c r="N6"/>
  <c r="K5"/>
  <c r="N5"/>
  <c r="I4"/>
  <c r="N4" s="1"/>
  <c r="H6"/>
  <c r="K6"/>
  <c r="H5"/>
  <c r="G48" i="1"/>
  <c r="G44"/>
  <c r="P30"/>
  <c r="P31" s="1"/>
  <c r="P32" s="1"/>
  <c r="P33" s="1"/>
  <c r="P34" s="1"/>
  <c r="Q28"/>
  <c r="R28" s="1"/>
  <c r="S28" s="1"/>
  <c r="Q30"/>
  <c r="R29"/>
  <c r="S29" s="1"/>
  <c r="M34"/>
  <c r="M36" s="1"/>
  <c r="R30"/>
  <c r="R31" s="1"/>
  <c r="G29"/>
  <c r="I29"/>
  <c r="J29" s="1"/>
  <c r="G28"/>
  <c r="I28"/>
  <c r="J28" s="1"/>
  <c r="H20"/>
  <c r="I20" s="1"/>
  <c r="J20" s="1"/>
  <c r="G20"/>
  <c r="H19"/>
  <c r="I19" s="1"/>
  <c r="J19" s="1"/>
  <c r="G19"/>
  <c r="M6"/>
  <c r="N6" s="1"/>
  <c r="L13" s="1"/>
  <c r="N13" s="1"/>
  <c r="J11"/>
  <c r="K14"/>
  <c r="J13"/>
  <c r="J12"/>
  <c r="G6"/>
  <c r="H4"/>
  <c r="I4" s="1"/>
  <c r="J4" s="1"/>
  <c r="K4" s="1"/>
  <c r="M4" s="1"/>
  <c r="H5"/>
  <c r="I5" s="1"/>
  <c r="J5" s="1"/>
  <c r="M5" s="1"/>
  <c r="O7"/>
  <c r="M14" s="1"/>
  <c r="O14" s="1"/>
  <c r="N7"/>
  <c r="L14" s="1"/>
  <c r="N14" s="1"/>
  <c r="G7"/>
  <c r="F29" i="2" l="1"/>
  <c r="F36" s="1"/>
  <c r="E36"/>
  <c r="L28"/>
  <c r="L35" s="1"/>
  <c r="E28"/>
  <c r="F27"/>
  <c r="F34" s="1"/>
  <c r="E34"/>
  <c r="L21"/>
  <c r="N21" s="1"/>
  <c r="F28"/>
  <c r="F35" s="1"/>
  <c r="N14"/>
  <c r="G21"/>
  <c r="J21" s="1"/>
  <c r="K21" s="1"/>
  <c r="E21"/>
  <c r="E27"/>
  <c r="L29"/>
  <c r="L36" s="1"/>
  <c r="L27"/>
  <c r="L34" s="1"/>
  <c r="F20"/>
  <c r="H20" s="1"/>
  <c r="F22"/>
  <c r="I22" s="1"/>
  <c r="E22"/>
  <c r="E20"/>
  <c r="H14"/>
  <c r="K14"/>
  <c r="H15"/>
  <c r="J15"/>
  <c r="K15" s="1"/>
  <c r="H13"/>
  <c r="K13"/>
  <c r="M28"/>
  <c r="M35" s="1"/>
  <c r="G28"/>
  <c r="G35" s="1"/>
  <c r="N20"/>
  <c r="G27"/>
  <c r="G34" s="1"/>
  <c r="M27"/>
  <c r="M34" s="1"/>
  <c r="M22"/>
  <c r="N22" s="1"/>
  <c r="G22"/>
  <c r="K4"/>
  <c r="I27"/>
  <c r="I34" s="1"/>
  <c r="K29" i="1"/>
  <c r="M29" s="1"/>
  <c r="M28"/>
  <c r="O28" s="1"/>
  <c r="K28"/>
  <c r="M19"/>
  <c r="K19"/>
  <c r="M20"/>
  <c r="N20" s="1"/>
  <c r="K20"/>
  <c r="U29"/>
  <c r="T29"/>
  <c r="T28"/>
  <c r="T30" s="1"/>
  <c r="S30"/>
  <c r="U28"/>
  <c r="U30" s="1"/>
  <c r="N28"/>
  <c r="O20"/>
  <c r="N19"/>
  <c r="O19"/>
  <c r="O21" s="1"/>
  <c r="O6"/>
  <c r="M13" s="1"/>
  <c r="O13" s="1"/>
  <c r="O4"/>
  <c r="M11" s="1"/>
  <c r="O11" s="1"/>
  <c r="O5"/>
  <c r="M12" s="1"/>
  <c r="O12" s="1"/>
  <c r="N5"/>
  <c r="L12" s="1"/>
  <c r="N12" s="1"/>
  <c r="N4"/>
  <c r="L11" s="1"/>
  <c r="N11" s="1"/>
  <c r="E35" i="2" l="1"/>
  <c r="I29"/>
  <c r="I36" s="1"/>
  <c r="I28"/>
  <c r="I35" s="1"/>
  <c r="H35"/>
  <c r="N28"/>
  <c r="N35"/>
  <c r="N34"/>
  <c r="J27"/>
  <c r="H34"/>
  <c r="H21"/>
  <c r="N27"/>
  <c r="I20"/>
  <c r="K20" s="1"/>
  <c r="H27"/>
  <c r="M29"/>
  <c r="M36" s="1"/>
  <c r="E29"/>
  <c r="G29"/>
  <c r="G36" s="1"/>
  <c r="H36" s="1"/>
  <c r="J22"/>
  <c r="K22" s="1"/>
  <c r="H22"/>
  <c r="J28"/>
  <c r="J35" s="1"/>
  <c r="H28"/>
  <c r="O29" i="1"/>
  <c r="M30"/>
  <c r="N29"/>
  <c r="N30" s="1"/>
  <c r="O30"/>
  <c r="O32" s="1"/>
  <c r="M21"/>
  <c r="M32" s="1"/>
  <c r="N21"/>
  <c r="J34" i="2" l="1"/>
  <c r="K34" s="1"/>
  <c r="N29"/>
  <c r="N36"/>
  <c r="K28"/>
  <c r="K35"/>
  <c r="K27"/>
  <c r="J29"/>
  <c r="J36" s="1"/>
  <c r="H29"/>
  <c r="N32" i="1"/>
  <c r="K29" i="2" l="1"/>
  <c r="K36"/>
</calcChain>
</file>

<file path=xl/comments1.xml><?xml version="1.0" encoding="utf-8"?>
<comments xmlns="http://schemas.openxmlformats.org/spreadsheetml/2006/main">
  <authors>
    <author>Jorge Tomás Mérida Sotelo</author>
  </authors>
  <commentList>
    <comment ref="B11" authorId="0">
      <text>
        <r>
          <rPr>
            <b/>
            <sz val="9"/>
            <color indexed="81"/>
            <rFont val="Tahoma"/>
            <charset val="1"/>
          </rPr>
          <t>COORDINACIÓN:</t>
        </r>
        <r>
          <rPr>
            <sz val="9"/>
            <color indexed="81"/>
            <rFont val="Tahoma"/>
            <charset val="1"/>
          </rPr>
          <t xml:space="preserve">
En este recuadro captura, en el nivel educativo correspondiente, la matrícula al inicio del ciclo escolar que se muestra en la carátula del Formato B1. Para educación especial captura en Preescolar o Primaria, de acuerdo a la población que mayormente atiene el centro educativo.</t>
        </r>
      </text>
    </comment>
    <comment ref="C33" authorId="0">
      <text>
        <r>
          <rPr>
            <b/>
            <sz val="9"/>
            <color indexed="81"/>
            <rFont val="Tahoma"/>
            <charset val="1"/>
          </rPr>
          <t>COORDINACIÓN:</t>
        </r>
        <r>
          <rPr>
            <sz val="9"/>
            <color indexed="81"/>
            <rFont val="Tahoma"/>
            <charset val="1"/>
          </rPr>
          <t xml:space="preserve">
Si la unidad de medida de tus facturas es "litro", captura el precio unitario en este recuadro.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 xml:space="preserve">COORDINACIÓN:
</t>
        </r>
        <r>
          <rPr>
            <sz val="9"/>
            <color indexed="81"/>
            <rFont val="Tahoma"/>
            <family val="2"/>
          </rPr>
          <t>Si la unidad de medida de tus facturas es "galón", captura el precio unitario en este recuadro.</t>
        </r>
      </text>
    </comment>
    <comment ref="I33" authorId="0">
      <text>
        <r>
          <rPr>
            <b/>
            <sz val="9"/>
            <color indexed="81"/>
            <rFont val="Tahoma"/>
            <charset val="1"/>
          </rPr>
          <t>COORDINACIÓN:</t>
        </r>
        <r>
          <rPr>
            <sz val="9"/>
            <color indexed="81"/>
            <rFont val="Tahoma"/>
            <charset val="1"/>
          </rPr>
          <t xml:space="preserve">
Si la unidad de medida de tus facturas es "garrafón", captura el precio unitario en este recuadro.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 xml:space="preserve">COORDINACIÓN:
</t>
        </r>
        <r>
          <rPr>
            <sz val="9"/>
            <color indexed="81"/>
            <rFont val="Tahoma"/>
            <family val="2"/>
          </rPr>
          <t>Si la unidad de medida de tus facturas es "metro cúbico", captura el precio unitario en este recuadro.</t>
        </r>
      </text>
    </comment>
  </commentList>
</comments>
</file>

<file path=xl/sharedStrings.xml><?xml version="1.0" encoding="utf-8"?>
<sst xmlns="http://schemas.openxmlformats.org/spreadsheetml/2006/main" count="208" uniqueCount="79">
  <si>
    <t>Grupo de edad</t>
  </si>
  <si>
    <t>3-5 años</t>
  </si>
  <si>
    <t>6-11 años</t>
  </si>
  <si>
    <t>12-14 años</t>
  </si>
  <si>
    <t>Por semana (lunes a viernes)</t>
  </si>
  <si>
    <t>Por jornada escolar</t>
  </si>
  <si>
    <t>Por ciclo escolar (200 días)</t>
  </si>
  <si>
    <t>Importe anual</t>
  </si>
  <si>
    <t>Importe anual mínimo (-10%)</t>
  </si>
  <si>
    <t>Importe anual máximo (+10%)</t>
  </si>
  <si>
    <t>Recurso Beca progreso</t>
  </si>
  <si>
    <t>Preescolar</t>
  </si>
  <si>
    <t>Primaria</t>
  </si>
  <si>
    <t>Secundaria</t>
  </si>
  <si>
    <t>Nivel</t>
  </si>
  <si>
    <t>Conceptos financieros</t>
  </si>
  <si>
    <t>Mínimo</t>
  </si>
  <si>
    <t>Máximo</t>
  </si>
  <si>
    <t>Mínimo (35%)</t>
  </si>
  <si>
    <t>Máximo (50%)</t>
  </si>
  <si>
    <t>Nivel educativo</t>
  </si>
  <si>
    <t>Gasto del recurso de Beca Progreso en Agua de Consumo Humano</t>
  </si>
  <si>
    <t>Promedio</t>
  </si>
  <si>
    <t>Consumo Diario (en litros)</t>
  </si>
  <si>
    <t>Centro de apoyo</t>
  </si>
  <si>
    <t xml:space="preserve"> </t>
  </si>
  <si>
    <t>En galón (3.785 lts. x1)</t>
  </si>
  <si>
    <t>En garrafón (5 gls. x1)</t>
  </si>
  <si>
    <t>Importe por garrafón ($7.50 x 1)</t>
  </si>
  <si>
    <t>Matrícula ó Plantilla (25, 35, 45, 12)</t>
  </si>
  <si>
    <t>Presupuesto del gasto en agua para consumo humano</t>
  </si>
  <si>
    <t>Porcentaje presupuestal del gasto en agua para consumo humano</t>
  </si>
  <si>
    <t>18 años en adelante</t>
  </si>
  <si>
    <t>GALONES</t>
  </si>
  <si>
    <t>LITROS</t>
  </si>
  <si>
    <t>litros diarios por escuela</t>
  </si>
  <si>
    <t>litros semanales por escuela</t>
  </si>
  <si>
    <t>galones semanales por escuela</t>
  </si>
  <si>
    <t>costo estimado de galones semanales por escuela (1.75)</t>
  </si>
  <si>
    <t>costo estimado de galones anuales por escuela (1.75 - 10 meses)</t>
  </si>
  <si>
    <t>costo estimado de galones mensuales por escuela (1.75 - a semanas)</t>
  </si>
  <si>
    <t>Importe por garrafón ($10 x 1)</t>
  </si>
  <si>
    <t>litros diarios</t>
  </si>
  <si>
    <t>galones diarios</t>
  </si>
  <si>
    <t>dias por factura</t>
  </si>
  <si>
    <t>fecha caftura</t>
  </si>
  <si>
    <t>galones por factura</t>
  </si>
  <si>
    <t>Consumo Diario (en galones)</t>
  </si>
  <si>
    <t>Consumo Diario (en garrafones)</t>
  </si>
  <si>
    <t>Consumo Diario (en metros cúbicos)</t>
  </si>
  <si>
    <t>Matrícula al inicio del ciclo escolar 2010-2011</t>
  </si>
  <si>
    <t>Consumo Semanal (en litros)</t>
  </si>
  <si>
    <t>Consumo Semanal (en galones)</t>
  </si>
  <si>
    <t>Consumo Semanal (en garrafones)</t>
  </si>
  <si>
    <t>Consumo Semanal (en metros cúbicos)</t>
  </si>
  <si>
    <t>Consumo por Ejercicio - 200 días hábiles (en litros)</t>
  </si>
  <si>
    <t>Consumo por Ejercicio - 200 días hábiles (en galones)</t>
  </si>
  <si>
    <t>Consumo por Ejercicio - 200 días hábiles (en garrafones)</t>
  </si>
  <si>
    <t>Consumo por Ejercicio - 200 días hábiles (en metros cúbicos)</t>
  </si>
  <si>
    <t>Consumo por jornada escolar (en litros)</t>
  </si>
  <si>
    <t>Consumo por jornada escolar (en galones)</t>
  </si>
  <si>
    <t>Consumo por jornada escolar (en garrafones)</t>
  </si>
  <si>
    <t>Consumo por jornada escolar (en metros cúbicos)</t>
  </si>
  <si>
    <t>CONSUMO DIARIO DE AGUA POR GRUPO DE EDAD</t>
  </si>
  <si>
    <t>CONSUMO DE AGUA POR GRUPO DE EDAD - JORNADA ESCOLAR</t>
  </si>
  <si>
    <t xml:space="preserve">CAPTURAR Matrícula al inicio del ciclo escolar 2010-2011 </t>
  </si>
  <si>
    <t>CONSUMO DE AGUA POR GRUPO DE EDAD - SEMANAL</t>
  </si>
  <si>
    <t>CONSUMO DE AGUA POR GRUPO DE EDAD - EJERCICIO FISCAL DE 200 DÍAS HÁBILES</t>
  </si>
  <si>
    <t>CONSUMO DE AGUA POR ESCUELA</t>
  </si>
  <si>
    <t>IMPORTE POR CONSUMO DE AGUA - EJERCICIO FISCAL 2011</t>
  </si>
  <si>
    <t>GARRAFONES</t>
  </si>
  <si>
    <t>METROS CÚBICOS</t>
  </si>
  <si>
    <t>CAPTURAR PRECIO UNITARIO</t>
  </si>
  <si>
    <t>beca progreso</t>
  </si>
  <si>
    <t>ingresos propios</t>
  </si>
  <si>
    <t>nueva</t>
  </si>
  <si>
    <t>litros al año</t>
  </si>
  <si>
    <t>litros anuales por alumno</t>
  </si>
  <si>
    <t>litros diarios por alumno</t>
  </si>
</sst>
</file>

<file path=xl/styles.xml><?xml version="1.0" encoding="utf-8"?>
<styleSheet xmlns="http://schemas.openxmlformats.org/spreadsheetml/2006/main">
  <numFmts count="8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00"/>
    <numFmt numFmtId="166" formatCode="0.0000"/>
    <numFmt numFmtId="167" formatCode="0.00000"/>
    <numFmt numFmtId="168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0" fontId="3" fillId="3" borderId="1" xfId="2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4" fontId="3" fillId="3" borderId="12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4" fontId="3" fillId="3" borderId="15" xfId="1" applyFont="1" applyFill="1" applyBorder="1" applyAlignment="1">
      <alignment horizontal="center" vertical="center" wrapText="1"/>
    </xf>
    <xf numFmtId="10" fontId="3" fillId="3" borderId="12" xfId="2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10" fontId="3" fillId="3" borderId="14" xfId="2" applyNumberFormat="1" applyFont="1" applyFill="1" applyBorder="1" applyAlignment="1">
      <alignment vertical="center" wrapText="1"/>
    </xf>
    <xf numFmtId="10" fontId="3" fillId="3" borderId="15" xfId="2" applyNumberFormat="1" applyFont="1" applyFill="1" applyBorder="1" applyAlignment="1">
      <alignment vertical="center" wrapText="1"/>
    </xf>
    <xf numFmtId="44" fontId="3" fillId="3" borderId="1" xfId="2" applyNumberFormat="1" applyFont="1" applyFill="1" applyBorder="1" applyAlignment="1">
      <alignment vertical="center" wrapText="1"/>
    </xf>
    <xf numFmtId="44" fontId="3" fillId="3" borderId="14" xfId="2" applyNumberFormat="1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4" fontId="3" fillId="3" borderId="10" xfId="1" applyFont="1" applyFill="1" applyBorder="1" applyAlignment="1">
      <alignment horizontal="center" vertical="center" wrapText="1"/>
    </xf>
    <xf numFmtId="44" fontId="3" fillId="3" borderId="5" xfId="2" applyNumberFormat="1" applyFont="1" applyFill="1" applyBorder="1" applyAlignment="1">
      <alignment vertical="center" wrapText="1"/>
    </xf>
    <xf numFmtId="10" fontId="3" fillId="3" borderId="5" xfId="2" applyNumberFormat="1" applyFont="1" applyFill="1" applyBorder="1" applyAlignment="1">
      <alignment vertical="center" wrapText="1"/>
    </xf>
    <xf numFmtId="10" fontId="3" fillId="3" borderId="10" xfId="2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44" fontId="3" fillId="0" borderId="2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20" xfId="0" applyNumberFormat="1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44" fontId="3" fillId="3" borderId="9" xfId="2" applyNumberFormat="1" applyFont="1" applyFill="1" applyBorder="1" applyAlignment="1">
      <alignment vertical="center" wrapText="1"/>
    </xf>
    <xf numFmtId="44" fontId="3" fillId="3" borderId="11" xfId="2" applyNumberFormat="1" applyFont="1" applyFill="1" applyBorder="1" applyAlignment="1">
      <alignment vertical="center" wrapText="1"/>
    </xf>
    <xf numFmtId="44" fontId="3" fillId="3" borderId="13" xfId="2" applyNumberFormat="1" applyFont="1" applyFill="1" applyBorder="1" applyAlignment="1">
      <alignment vertical="center" wrapText="1"/>
    </xf>
    <xf numFmtId="44" fontId="3" fillId="4" borderId="27" xfId="1" applyFont="1" applyFill="1" applyBorder="1" applyAlignment="1">
      <alignment horizontal="center" vertical="center" wrapText="1"/>
    </xf>
    <xf numFmtId="44" fontId="3" fillId="4" borderId="28" xfId="1" applyFont="1" applyFill="1" applyBorder="1" applyAlignment="1">
      <alignment horizontal="center" vertical="center" wrapText="1"/>
    </xf>
    <xf numFmtId="44" fontId="3" fillId="4" borderId="26" xfId="1" applyFont="1" applyFill="1" applyBorder="1" applyAlignment="1">
      <alignment horizontal="center" vertical="center" wrapText="1"/>
    </xf>
    <xf numFmtId="44" fontId="3" fillId="0" borderId="21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20" xfId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4" fontId="3" fillId="0" borderId="30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31" xfId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44" fontId="3" fillId="3" borderId="11" xfId="1" applyFont="1" applyFill="1" applyBorder="1" applyAlignment="1">
      <alignment horizontal="center" vertical="center" wrapText="1"/>
    </xf>
    <xf numFmtId="44" fontId="3" fillId="3" borderId="13" xfId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2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vertical="center" wrapText="1"/>
    </xf>
    <xf numFmtId="4" fontId="5" fillId="5" borderId="41" xfId="3" applyNumberFormat="1" applyFont="1" applyFill="1" applyBorder="1" applyAlignment="1" applyProtection="1">
      <alignment horizontal="right" vertical="center"/>
    </xf>
    <xf numFmtId="0" fontId="5" fillId="5" borderId="41" xfId="4" applyFont="1" applyFill="1" applyBorder="1" applyAlignment="1" applyProtection="1">
      <alignment horizontal="right" vertical="center"/>
    </xf>
    <xf numFmtId="164" fontId="0" fillId="0" borderId="0" xfId="0" applyNumberFormat="1" applyAlignment="1">
      <alignment vertical="center" wrapText="1"/>
    </xf>
    <xf numFmtId="44" fontId="0" fillId="0" borderId="0" xfId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6" fillId="5" borderId="41" xfId="4" applyFont="1" applyFill="1" applyBorder="1" applyAlignment="1" applyProtection="1">
      <alignment horizontal="right" vertical="center"/>
    </xf>
    <xf numFmtId="1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center" vertical="center" wrapText="1"/>
    </xf>
    <xf numFmtId="43" fontId="9" fillId="0" borderId="24" xfId="5" applyFont="1" applyBorder="1" applyAlignment="1">
      <alignment horizontal="center" vertical="center" wrapText="1"/>
    </xf>
    <xf numFmtId="43" fontId="9" fillId="0" borderId="5" xfId="5" applyFont="1" applyBorder="1" applyAlignment="1">
      <alignment horizontal="center" vertical="center" wrapText="1"/>
    </xf>
    <xf numFmtId="165" fontId="9" fillId="0" borderId="2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6" fontId="9" fillId="0" borderId="24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7" fontId="9" fillId="0" borderId="24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center" vertical="center" wrapText="1"/>
    </xf>
    <xf numFmtId="43" fontId="9" fillId="0" borderId="3" xfId="5" applyFont="1" applyBorder="1" applyAlignment="1">
      <alignment horizontal="center" vertical="center" wrapText="1"/>
    </xf>
    <xf numFmtId="43" fontId="9" fillId="0" borderId="1" xfId="5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8" borderId="2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8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9" fillId="8" borderId="2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168" fontId="9" fillId="0" borderId="1" xfId="5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7" fontId="9" fillId="4" borderId="1" xfId="1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0" fillId="0" borderId="0" xfId="0" applyAlignment="1">
      <alignment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0" fillId="0" borderId="33" xfId="0" applyBorder="1"/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33" xfId="0" applyFont="1" applyBorder="1"/>
    <xf numFmtId="7" fontId="9" fillId="4" borderId="1" xfId="1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2" fillId="8" borderId="42" xfId="0" applyFont="1" applyFill="1" applyBorder="1" applyAlignment="1">
      <alignment horizontal="center" vertical="center" wrapText="1"/>
    </xf>
    <xf numFmtId="0" fontId="12" fillId="8" borderId="43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</cellXfs>
  <cellStyles count="6">
    <cellStyle name="Millares" xfId="5" builtinId="3"/>
    <cellStyle name="Moneda" xfId="1" builtinId="4"/>
    <cellStyle name="Normal" xfId="0" builtinId="0"/>
    <cellStyle name="Normal 2" xfId="3"/>
    <cellStyle name="Normal 3" xfId="4"/>
    <cellStyle name="Porcentual" xfId="2" builtinId="5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zoomScale="120" zoomScaleNormal="120" workbookViewId="0">
      <selection activeCell="I4" sqref="I4"/>
    </sheetView>
  </sheetViews>
  <sheetFormatPr baseColWidth="10" defaultRowHeight="15"/>
  <cols>
    <col min="1" max="2" width="10.7109375" style="1" customWidth="1"/>
    <col min="3" max="3" width="11.28515625" style="1" bestFit="1" customWidth="1"/>
    <col min="4" max="7" width="8.7109375" style="1" customWidth="1"/>
    <col min="8" max="11" width="10.7109375" style="1" customWidth="1"/>
    <col min="12" max="12" width="28.7109375" style="1" bestFit="1" customWidth="1"/>
    <col min="13" max="13" width="12.7109375" style="1" bestFit="1" customWidth="1"/>
    <col min="14" max="14" width="19.28515625" style="1" customWidth="1"/>
    <col min="15" max="15" width="17.85546875" style="1" customWidth="1"/>
    <col min="16" max="16" width="12.42578125" style="1" bestFit="1" customWidth="1"/>
    <col min="17" max="17" width="11.42578125" style="1"/>
    <col min="18" max="18" width="12.42578125" style="1" bestFit="1" customWidth="1"/>
    <col min="19" max="19" width="14.5703125" style="1" bestFit="1" customWidth="1"/>
    <col min="20" max="20" width="18" style="1" bestFit="1" customWidth="1"/>
    <col min="21" max="21" width="17.28515625" style="1" bestFit="1" customWidth="1"/>
    <col min="22" max="16384" width="11.42578125" style="1"/>
  </cols>
  <sheetData>
    <row r="1" spans="1:18" ht="20.100000000000001" customHeight="1" thickBot="1">
      <c r="A1" s="115" t="s">
        <v>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8" ht="24.95" customHeight="1">
      <c r="A2" s="118" t="s">
        <v>14</v>
      </c>
      <c r="B2" s="120" t="s">
        <v>0</v>
      </c>
      <c r="C2" s="122" t="s">
        <v>23</v>
      </c>
      <c r="D2" s="122"/>
      <c r="E2" s="123"/>
      <c r="F2" s="113" t="s">
        <v>5</v>
      </c>
      <c r="G2" s="113" t="s">
        <v>4</v>
      </c>
      <c r="H2" s="113" t="s">
        <v>6</v>
      </c>
      <c r="I2" s="113" t="s">
        <v>26</v>
      </c>
      <c r="J2" s="113" t="s">
        <v>27</v>
      </c>
      <c r="K2" s="124" t="s">
        <v>28</v>
      </c>
      <c r="L2" s="126" t="s">
        <v>29</v>
      </c>
      <c r="M2" s="126" t="s">
        <v>7</v>
      </c>
      <c r="N2" s="118" t="s">
        <v>8</v>
      </c>
      <c r="O2" s="120" t="s">
        <v>9</v>
      </c>
    </row>
    <row r="3" spans="1:18" ht="60" customHeight="1" thickBot="1">
      <c r="A3" s="119"/>
      <c r="B3" s="121"/>
      <c r="C3" s="32" t="s">
        <v>16</v>
      </c>
      <c r="D3" s="11" t="s">
        <v>17</v>
      </c>
      <c r="E3" s="11" t="s">
        <v>22</v>
      </c>
      <c r="F3" s="114"/>
      <c r="G3" s="114"/>
      <c r="H3" s="114"/>
      <c r="I3" s="114"/>
      <c r="J3" s="114"/>
      <c r="K3" s="125"/>
      <c r="L3" s="127"/>
      <c r="M3" s="127"/>
      <c r="N3" s="119"/>
      <c r="O3" s="121"/>
    </row>
    <row r="4" spans="1:18" ht="30" customHeight="1">
      <c r="A4" s="21" t="s">
        <v>11</v>
      </c>
      <c r="B4" s="51" t="s">
        <v>1</v>
      </c>
      <c r="C4" s="45">
        <v>1.35</v>
      </c>
      <c r="D4" s="22">
        <v>1.8</v>
      </c>
      <c r="E4" s="23">
        <f>SUM(C4:D4)/2</f>
        <v>1.5750000000000002</v>
      </c>
      <c r="F4" s="23">
        <f>SUM(E4/24)*4</f>
        <v>0.26250000000000001</v>
      </c>
      <c r="G4" s="23">
        <f>SUM(F4)*5</f>
        <v>1.3125</v>
      </c>
      <c r="H4" s="23">
        <f>SUM(F4*200)</f>
        <v>52.5</v>
      </c>
      <c r="I4" s="23">
        <f>SUM(H4)*0.26417</f>
        <v>13.868925000000001</v>
      </c>
      <c r="J4" s="23">
        <f>SUM(I4)/5</f>
        <v>2.7737850000000002</v>
      </c>
      <c r="K4" s="42">
        <f>SUM(J4)*7.5</f>
        <v>20.803387499999999</v>
      </c>
      <c r="L4" s="54">
        <f>SUM(25*3)</f>
        <v>75</v>
      </c>
      <c r="M4" s="48">
        <f>SUM(K4*L4)</f>
        <v>1560.2540624999999</v>
      </c>
      <c r="N4" s="57">
        <f>SUM(M4)*0.9</f>
        <v>1404.2286562499999</v>
      </c>
      <c r="O4" s="24">
        <f>SUM(M4)*1.1</f>
        <v>1716.27946875</v>
      </c>
    </row>
    <row r="5" spans="1:18" ht="30" customHeight="1">
      <c r="A5" s="8" t="s">
        <v>12</v>
      </c>
      <c r="B5" s="52" t="s">
        <v>2</v>
      </c>
      <c r="C5" s="46">
        <v>1.8</v>
      </c>
      <c r="D5" s="2">
        <v>2.5</v>
      </c>
      <c r="E5" s="3">
        <f t="shared" ref="E5:E7" si="0">SUM(C5:D5)/2</f>
        <v>2.15</v>
      </c>
      <c r="F5" s="3">
        <f>SUM(E5/24)*5</f>
        <v>0.44791666666666669</v>
      </c>
      <c r="G5" s="3">
        <f t="shared" ref="G5:G7" si="1">SUM(F5)*5</f>
        <v>2.2395833333333335</v>
      </c>
      <c r="H5" s="3">
        <f t="shared" ref="H5:H7" si="2">SUM(F5*200)</f>
        <v>89.583333333333343</v>
      </c>
      <c r="I5" s="65">
        <f t="shared" ref="I5:I7" si="3">SUM(H5)*0.26417</f>
        <v>23.66522916666667</v>
      </c>
      <c r="J5" s="3">
        <f t="shared" ref="J5:J7" si="4">SUM(I5)/5</f>
        <v>4.7330458333333336</v>
      </c>
      <c r="K5" s="43">
        <f t="shared" ref="K5:K7" si="5">SUM(J5)*7.5</f>
        <v>35.497843750000001</v>
      </c>
      <c r="L5" s="55">
        <f>SUM(35*6)</f>
        <v>210</v>
      </c>
      <c r="M5" s="49">
        <f t="shared" ref="M5:M7" si="6">SUM(K5*L5)</f>
        <v>7454.5471875000003</v>
      </c>
      <c r="N5" s="58">
        <f t="shared" ref="N5:N7" si="7">SUM(M5)*0.9</f>
        <v>6709.0924687500001</v>
      </c>
      <c r="O5" s="9">
        <f t="shared" ref="O5:O7" si="8">SUM(M5)*1.1</f>
        <v>8200.0019062500014</v>
      </c>
    </row>
    <row r="6" spans="1:18" ht="30" customHeight="1">
      <c r="A6" s="8" t="s">
        <v>13</v>
      </c>
      <c r="B6" s="52" t="s">
        <v>3</v>
      </c>
      <c r="C6" s="46">
        <v>2.5</v>
      </c>
      <c r="D6" s="2">
        <v>2.7</v>
      </c>
      <c r="E6" s="3">
        <f t="shared" ref="E6" si="9">SUM(C6:D6)/2</f>
        <v>2.6</v>
      </c>
      <c r="F6" s="3">
        <f>SUM(E6/24)*6</f>
        <v>0.65</v>
      </c>
      <c r="G6" s="3">
        <f t="shared" si="1"/>
        <v>3.25</v>
      </c>
      <c r="H6" s="3">
        <f t="shared" ref="H6" si="10">SUM(F6*200)</f>
        <v>130</v>
      </c>
      <c r="I6" s="65">
        <f t="shared" si="3"/>
        <v>34.342100000000002</v>
      </c>
      <c r="J6" s="3">
        <f t="shared" si="4"/>
        <v>6.8684200000000004</v>
      </c>
      <c r="K6" s="43">
        <f t="shared" si="5"/>
        <v>51.513150000000003</v>
      </c>
      <c r="L6" s="55">
        <f>SUM(45*3)</f>
        <v>135</v>
      </c>
      <c r="M6" s="49">
        <f t="shared" ref="M6" si="11">SUM(K6*L6)</f>
        <v>6954.2752500000006</v>
      </c>
      <c r="N6" s="58">
        <f t="shared" si="7"/>
        <v>6258.8477250000005</v>
      </c>
      <c r="O6" s="9">
        <f t="shared" ref="O6" si="12">SUM(M6)*1.1</f>
        <v>7649.7027750000016</v>
      </c>
    </row>
    <row r="7" spans="1:18" ht="30" customHeight="1" thickBot="1">
      <c r="A7" s="10" t="s">
        <v>24</v>
      </c>
      <c r="B7" s="53" t="s">
        <v>32</v>
      </c>
      <c r="C7" s="47">
        <v>2.2000000000000002</v>
      </c>
      <c r="D7" s="12">
        <v>2.7</v>
      </c>
      <c r="E7" s="13">
        <f t="shared" si="0"/>
        <v>2.4500000000000002</v>
      </c>
      <c r="F7" s="13">
        <f>SUM(E7/24)*6</f>
        <v>0.61250000000000004</v>
      </c>
      <c r="G7" s="13">
        <f t="shared" si="1"/>
        <v>3.0625</v>
      </c>
      <c r="H7" s="13">
        <f t="shared" si="2"/>
        <v>122.50000000000001</v>
      </c>
      <c r="I7" s="13">
        <f t="shared" si="3"/>
        <v>32.360825000000006</v>
      </c>
      <c r="J7" s="13">
        <f t="shared" si="4"/>
        <v>6.4721650000000013</v>
      </c>
      <c r="K7" s="44">
        <f t="shared" si="5"/>
        <v>48.541237500000008</v>
      </c>
      <c r="L7" s="56">
        <v>12</v>
      </c>
      <c r="M7" s="50">
        <f t="shared" si="6"/>
        <v>582.49485000000004</v>
      </c>
      <c r="N7" s="59">
        <f t="shared" si="7"/>
        <v>524.24536500000011</v>
      </c>
      <c r="O7" s="14">
        <f t="shared" si="8"/>
        <v>640.74433500000009</v>
      </c>
    </row>
    <row r="8" spans="1:18" ht="20.100000000000001" customHeight="1" thickBot="1">
      <c r="A8" s="4"/>
      <c r="B8" s="4"/>
      <c r="C8" s="4"/>
      <c r="D8" s="4"/>
      <c r="E8" s="4"/>
      <c r="F8" s="4"/>
      <c r="G8" s="4"/>
      <c r="H8" s="5"/>
      <c r="I8" s="4"/>
      <c r="J8" s="4"/>
      <c r="K8" s="4"/>
      <c r="L8" s="4"/>
      <c r="M8" s="4"/>
      <c r="N8" s="4"/>
      <c r="O8" s="4"/>
    </row>
    <row r="9" spans="1:18" ht="45" customHeight="1">
      <c r="A9" s="4"/>
      <c r="B9" s="4">
        <v>1000</v>
      </c>
      <c r="C9" s="4">
        <f>SUM(B9/3.785)</f>
        <v>264.20079260237782</v>
      </c>
      <c r="D9" s="6"/>
      <c r="E9" s="6"/>
      <c r="F9" s="6"/>
      <c r="G9" s="6"/>
      <c r="H9" s="132" t="s">
        <v>20</v>
      </c>
      <c r="I9" s="132" t="s">
        <v>10</v>
      </c>
      <c r="J9" s="128" t="s">
        <v>15</v>
      </c>
      <c r="K9" s="129"/>
      <c r="L9" s="134" t="s">
        <v>30</v>
      </c>
      <c r="M9" s="130"/>
      <c r="N9" s="130" t="s">
        <v>31</v>
      </c>
      <c r="O9" s="131"/>
    </row>
    <row r="10" spans="1:18" ht="30" customHeight="1" thickBot="1">
      <c r="A10" s="4"/>
      <c r="B10" s="4">
        <f>SUM(180/B9)</f>
        <v>0.18</v>
      </c>
      <c r="C10" s="4">
        <f>SUM(180/C9)</f>
        <v>0.68130000000000002</v>
      </c>
      <c r="D10" s="6">
        <f>SUM(C10*5)</f>
        <v>3.4065000000000003</v>
      </c>
      <c r="E10" s="6"/>
      <c r="F10" s="6"/>
      <c r="G10" s="6"/>
      <c r="H10" s="133"/>
      <c r="I10" s="133"/>
      <c r="J10" s="32" t="s">
        <v>18</v>
      </c>
      <c r="K10" s="28" t="s">
        <v>19</v>
      </c>
      <c r="L10" s="16" t="s">
        <v>16</v>
      </c>
      <c r="M10" s="11" t="s">
        <v>17</v>
      </c>
      <c r="N10" s="11" t="s">
        <v>16</v>
      </c>
      <c r="O10" s="53" t="s">
        <v>17</v>
      </c>
      <c r="Q10" s="63"/>
      <c r="R10" s="63"/>
    </row>
    <row r="11" spans="1:18" ht="30" customHeight="1">
      <c r="A11" s="4"/>
      <c r="B11" s="4"/>
      <c r="C11" s="4"/>
      <c r="D11" s="6"/>
      <c r="E11" s="6"/>
      <c r="F11" s="6"/>
      <c r="G11" s="6"/>
      <c r="H11" s="60" t="s">
        <v>11</v>
      </c>
      <c r="I11" s="39">
        <f>SUM(L4*420)</f>
        <v>31500</v>
      </c>
      <c r="J11" s="33">
        <f>SUM(I11*0.35)</f>
        <v>11025</v>
      </c>
      <c r="K11" s="29">
        <f>SUM(I11*0.5)</f>
        <v>15750</v>
      </c>
      <c r="L11" s="36">
        <f>SUM(N4)</f>
        <v>1404.2286562499999</v>
      </c>
      <c r="M11" s="25">
        <f>SUM(O4)</f>
        <v>1716.27946875</v>
      </c>
      <c r="N11" s="26">
        <f>SUM(L11/I11)</f>
        <v>4.4578687499999999E-2</v>
      </c>
      <c r="O11" s="27">
        <f>SUM(M11/I11)</f>
        <v>5.4485062500000001E-2</v>
      </c>
      <c r="Q11" s="64"/>
      <c r="R11" s="64"/>
    </row>
    <row r="12" spans="1:18" ht="30" customHeight="1">
      <c r="A12" s="4"/>
      <c r="B12" s="4"/>
      <c r="C12" s="4"/>
      <c r="D12" s="6"/>
      <c r="E12" s="6"/>
      <c r="F12" s="6"/>
      <c r="G12" s="6"/>
      <c r="H12" s="61" t="s">
        <v>12</v>
      </c>
      <c r="I12" s="40">
        <f>SUM(L5*420)</f>
        <v>88200</v>
      </c>
      <c r="J12" s="34">
        <f t="shared" ref="J12:J14" si="13">SUM(I12*0.35)</f>
        <v>30869.999999999996</v>
      </c>
      <c r="K12" s="30">
        <f t="shared" ref="K12:K13" si="14">SUM(I12*0.5)</f>
        <v>44100</v>
      </c>
      <c r="L12" s="37">
        <f t="shared" ref="L12:M12" si="15">SUM(N5)</f>
        <v>6709.0924687500001</v>
      </c>
      <c r="M12" s="19">
        <f t="shared" si="15"/>
        <v>8200.0019062500014</v>
      </c>
      <c r="N12" s="7">
        <f t="shared" ref="N12:N14" si="16">SUM(L12/I12)</f>
        <v>7.6066808035714292E-2</v>
      </c>
      <c r="O12" s="15">
        <f t="shared" ref="O12:O14" si="17">SUM(M12/I12)</f>
        <v>9.2970543154761914E-2</v>
      </c>
    </row>
    <row r="13" spans="1:18" ht="30" customHeight="1">
      <c r="A13" s="4"/>
      <c r="B13" s="4"/>
      <c r="C13" s="4"/>
      <c r="D13" s="6"/>
      <c r="E13" s="6"/>
      <c r="F13" s="6"/>
      <c r="G13" s="6"/>
      <c r="H13" s="61" t="s">
        <v>13</v>
      </c>
      <c r="I13" s="40">
        <f>SUM(L6*420)</f>
        <v>56700</v>
      </c>
      <c r="J13" s="34">
        <f t="shared" si="13"/>
        <v>19845</v>
      </c>
      <c r="K13" s="30">
        <f t="shared" si="14"/>
        <v>28350</v>
      </c>
      <c r="L13" s="37">
        <f t="shared" ref="L13:M13" si="18">SUM(N6)</f>
        <v>6258.8477250000005</v>
      </c>
      <c r="M13" s="19">
        <f t="shared" si="18"/>
        <v>7649.7027750000016</v>
      </c>
      <c r="N13" s="7">
        <f t="shared" si="16"/>
        <v>0.11038532142857144</v>
      </c>
      <c r="O13" s="15">
        <f t="shared" si="17"/>
        <v>0.13491539285714288</v>
      </c>
    </row>
    <row r="14" spans="1:18" ht="30" customHeight="1" thickBot="1">
      <c r="A14" s="4"/>
      <c r="B14" s="4"/>
      <c r="C14" s="4"/>
      <c r="D14" s="6"/>
      <c r="E14" s="6"/>
      <c r="F14" s="6"/>
      <c r="G14" s="6"/>
      <c r="H14" s="62" t="s">
        <v>24</v>
      </c>
      <c r="I14" s="41">
        <f>SUM(L7*420)</f>
        <v>5040</v>
      </c>
      <c r="J14" s="35">
        <f t="shared" si="13"/>
        <v>1764</v>
      </c>
      <c r="K14" s="31">
        <f t="shared" ref="K14" si="19">SUM(I14*0.5)</f>
        <v>2520</v>
      </c>
      <c r="L14" s="38">
        <f t="shared" ref="L14:M14" si="20">SUM(N7)</f>
        <v>524.24536500000011</v>
      </c>
      <c r="M14" s="20">
        <f t="shared" si="20"/>
        <v>640.74433500000009</v>
      </c>
      <c r="N14" s="17">
        <f t="shared" si="16"/>
        <v>0.10401693750000002</v>
      </c>
      <c r="O14" s="18">
        <f t="shared" si="17"/>
        <v>0.12713181250000002</v>
      </c>
    </row>
    <row r="15" spans="1:18" ht="20.100000000000001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8" ht="20.100000000000001" customHeight="1" thickBot="1">
      <c r="A16" s="115" t="s">
        <v>21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21" ht="24.95" customHeight="1">
      <c r="A17" s="118" t="s">
        <v>14</v>
      </c>
      <c r="B17" s="120" t="s">
        <v>0</v>
      </c>
      <c r="C17" s="122" t="s">
        <v>23</v>
      </c>
      <c r="D17" s="122"/>
      <c r="E17" s="123"/>
      <c r="F17" s="113" t="s">
        <v>5</v>
      </c>
      <c r="G17" s="113" t="s">
        <v>4</v>
      </c>
      <c r="H17" s="113" t="s">
        <v>6</v>
      </c>
      <c r="I17" s="113" t="s">
        <v>26</v>
      </c>
      <c r="J17" s="113" t="s">
        <v>27</v>
      </c>
      <c r="K17" s="124" t="s">
        <v>28</v>
      </c>
      <c r="L17" s="126" t="s">
        <v>29</v>
      </c>
      <c r="M17" s="126" t="s">
        <v>7</v>
      </c>
      <c r="N17" s="118" t="s">
        <v>8</v>
      </c>
      <c r="O17" s="120" t="s">
        <v>9</v>
      </c>
    </row>
    <row r="18" spans="1:21" ht="60" customHeight="1" thickBot="1">
      <c r="A18" s="119"/>
      <c r="B18" s="121"/>
      <c r="C18" s="32" t="s">
        <v>16</v>
      </c>
      <c r="D18" s="11" t="s">
        <v>17</v>
      </c>
      <c r="E18" s="11" t="s">
        <v>22</v>
      </c>
      <c r="F18" s="114"/>
      <c r="G18" s="114"/>
      <c r="H18" s="114"/>
      <c r="I18" s="114"/>
      <c r="J18" s="114"/>
      <c r="K18" s="125"/>
      <c r="L18" s="127"/>
      <c r="M18" s="127"/>
      <c r="N18" s="119"/>
      <c r="O18" s="121"/>
      <c r="S18" s="1">
        <f>SUM(136*420)</f>
        <v>57120</v>
      </c>
    </row>
    <row r="19" spans="1:21" ht="20.100000000000001" customHeight="1">
      <c r="A19" s="8" t="s">
        <v>13</v>
      </c>
      <c r="B19" s="52" t="s">
        <v>3</v>
      </c>
      <c r="C19" s="46">
        <v>2.5</v>
      </c>
      <c r="D19" s="2">
        <v>2.7</v>
      </c>
      <c r="E19" s="3">
        <f t="shared" ref="E19:E20" si="21">SUM(C19:D19)/2</f>
        <v>2.6</v>
      </c>
      <c r="F19" s="3">
        <f>SUM(E19/24)*6</f>
        <v>0.65</v>
      </c>
      <c r="G19" s="3">
        <f t="shared" ref="G19:G20" si="22">SUM(F19)*5</f>
        <v>3.25</v>
      </c>
      <c r="H19" s="3">
        <f t="shared" ref="H19:H20" si="23">SUM(F19*200)</f>
        <v>130</v>
      </c>
      <c r="I19" s="65">
        <f t="shared" ref="I19:I20" si="24">SUM(H19)*0.26417</f>
        <v>34.342100000000002</v>
      </c>
      <c r="J19" s="3">
        <f t="shared" ref="J19:J20" si="25">SUM(I19)/5</f>
        <v>6.8684200000000004</v>
      </c>
      <c r="K19" s="43">
        <f t="shared" ref="K19:K20" si="26">SUM(J19)*7.5</f>
        <v>51.513150000000003</v>
      </c>
      <c r="L19" s="68">
        <v>703</v>
      </c>
      <c r="M19" s="49">
        <f t="shared" ref="M19:M20" si="27">SUM(K19*L19)</f>
        <v>36213.744450000006</v>
      </c>
      <c r="N19" s="58">
        <f t="shared" ref="N19:N20" si="28">SUM(M19)*0.9</f>
        <v>32592.370005000004</v>
      </c>
      <c r="O19" s="9">
        <f t="shared" ref="O19:O20" si="29">SUM(M19)*1.1</f>
        <v>39835.118895000007</v>
      </c>
    </row>
    <row r="20" spans="1:21" ht="20.100000000000001" customHeight="1">
      <c r="A20" s="8" t="s">
        <v>13</v>
      </c>
      <c r="B20" s="52" t="s">
        <v>3</v>
      </c>
      <c r="C20" s="46">
        <v>2.5</v>
      </c>
      <c r="D20" s="2">
        <v>2.7</v>
      </c>
      <c r="E20" s="3">
        <f t="shared" si="21"/>
        <v>2.6</v>
      </c>
      <c r="F20" s="3">
        <f>SUM(E20/24)*6</f>
        <v>0.65</v>
      </c>
      <c r="G20" s="3">
        <f t="shared" si="22"/>
        <v>3.25</v>
      </c>
      <c r="H20" s="3">
        <f t="shared" si="23"/>
        <v>130</v>
      </c>
      <c r="I20" s="65">
        <f t="shared" si="24"/>
        <v>34.342100000000002</v>
      </c>
      <c r="J20" s="3">
        <f t="shared" si="25"/>
        <v>6.8684200000000004</v>
      </c>
      <c r="K20" s="43">
        <f t="shared" si="26"/>
        <v>51.513150000000003</v>
      </c>
      <c r="L20" s="68">
        <v>563</v>
      </c>
      <c r="M20" s="49">
        <f t="shared" si="27"/>
        <v>29001.903450000002</v>
      </c>
      <c r="N20" s="58">
        <f t="shared" si="28"/>
        <v>26101.713105000003</v>
      </c>
      <c r="O20" s="9">
        <f t="shared" si="29"/>
        <v>31902.093795000004</v>
      </c>
    </row>
    <row r="21" spans="1:21" ht="20.100000000000001" customHeight="1">
      <c r="A21" s="6"/>
      <c r="B21" s="6"/>
      <c r="C21" s="6"/>
      <c r="D21" s="6"/>
      <c r="E21" s="6" t="s">
        <v>25</v>
      </c>
      <c r="F21" s="6"/>
      <c r="G21" s="6"/>
      <c r="H21" s="6"/>
      <c r="I21" s="6"/>
      <c r="J21" s="6"/>
      <c r="K21" s="6"/>
      <c r="L21" s="6"/>
      <c r="M21" s="66">
        <f>SUM(M19:M20)</f>
        <v>65215.647900000011</v>
      </c>
      <c r="N21" s="66">
        <f t="shared" ref="N21:O21" si="30">SUM(N19:N20)</f>
        <v>58694.083110000007</v>
      </c>
      <c r="O21" s="66">
        <f t="shared" si="30"/>
        <v>71737.212690000015</v>
      </c>
    </row>
    <row r="22" spans="1:21" ht="20.100000000000001" customHeight="1">
      <c r="L22" s="6"/>
      <c r="M22" s="6"/>
      <c r="S22" s="1">
        <f>SUM(1.75*5)</f>
        <v>8.75</v>
      </c>
    </row>
    <row r="23" spans="1:21" ht="20.100000000000001" customHeight="1">
      <c r="L23" s="68">
        <v>703</v>
      </c>
      <c r="M23" s="67">
        <v>295260</v>
      </c>
    </row>
    <row r="24" spans="1:21" ht="20.100000000000001" customHeight="1" thickBot="1">
      <c r="L24" s="68">
        <v>563</v>
      </c>
      <c r="M24" s="67">
        <v>236460</v>
      </c>
    </row>
    <row r="25" spans="1:21" ht="20.100000000000001" customHeight="1" thickBot="1">
      <c r="A25" s="115" t="s">
        <v>21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21" ht="24.95" customHeight="1">
      <c r="A26" s="118" t="s">
        <v>14</v>
      </c>
      <c r="B26" s="120" t="s">
        <v>0</v>
      </c>
      <c r="C26" s="122" t="s">
        <v>23</v>
      </c>
      <c r="D26" s="122"/>
      <c r="E26" s="123"/>
      <c r="F26" s="113" t="s">
        <v>5</v>
      </c>
      <c r="G26" s="113" t="s">
        <v>4</v>
      </c>
      <c r="H26" s="113" t="s">
        <v>6</v>
      </c>
      <c r="I26" s="113" t="s">
        <v>26</v>
      </c>
      <c r="J26" s="113" t="s">
        <v>27</v>
      </c>
      <c r="K26" s="124" t="s">
        <v>41</v>
      </c>
      <c r="L26" s="126" t="s">
        <v>29</v>
      </c>
      <c r="M26" s="126" t="s">
        <v>7</v>
      </c>
      <c r="N26" s="118" t="s">
        <v>8</v>
      </c>
      <c r="O26" s="120" t="s">
        <v>9</v>
      </c>
    </row>
    <row r="27" spans="1:21" ht="60" customHeight="1" thickBot="1">
      <c r="A27" s="119"/>
      <c r="B27" s="121"/>
      <c r="C27" s="32" t="s">
        <v>16</v>
      </c>
      <c r="D27" s="11" t="s">
        <v>17</v>
      </c>
      <c r="E27" s="11" t="s">
        <v>22</v>
      </c>
      <c r="F27" s="114"/>
      <c r="G27" s="114"/>
      <c r="H27" s="114"/>
      <c r="I27" s="114"/>
      <c r="J27" s="114"/>
      <c r="K27" s="125"/>
      <c r="L27" s="135"/>
      <c r="M27" s="135"/>
      <c r="N27" s="119"/>
      <c r="O27" s="121"/>
      <c r="P27" s="1" t="s">
        <v>35</v>
      </c>
      <c r="Q27" s="1" t="s">
        <v>36</v>
      </c>
      <c r="R27" s="1" t="s">
        <v>37</v>
      </c>
      <c r="S27" s="1" t="s">
        <v>38</v>
      </c>
      <c r="T27" s="1" t="s">
        <v>40</v>
      </c>
      <c r="U27" s="1" t="s">
        <v>39</v>
      </c>
    </row>
    <row r="28" spans="1:21" ht="20.100000000000001" customHeight="1">
      <c r="A28" s="8" t="s">
        <v>13</v>
      </c>
      <c r="B28" s="52" t="s">
        <v>3</v>
      </c>
      <c r="C28" s="46">
        <v>2.5</v>
      </c>
      <c r="D28" s="2">
        <v>2.7</v>
      </c>
      <c r="E28" s="3">
        <f t="shared" ref="E28" si="31">SUM(C28:D28)/2</f>
        <v>2.6</v>
      </c>
      <c r="F28" s="3">
        <f>SUM(E28/24)*6</f>
        <v>0.65</v>
      </c>
      <c r="G28" s="3">
        <f t="shared" ref="G28" si="32">SUM(F28)*5</f>
        <v>3.25</v>
      </c>
      <c r="H28" s="3">
        <f>SUM(F28*200)</f>
        <v>130</v>
      </c>
      <c r="I28" s="65">
        <f t="shared" ref="I28" si="33">SUM(H28)*0.26417</f>
        <v>34.342100000000002</v>
      </c>
      <c r="J28" s="3">
        <f t="shared" ref="J28" si="34">SUM(I28)/5</f>
        <v>6.8684200000000004</v>
      </c>
      <c r="K28" s="43">
        <f>SUM(J28)*10</f>
        <v>68.684200000000004</v>
      </c>
      <c r="L28" s="72">
        <v>703</v>
      </c>
      <c r="M28" s="49">
        <f t="shared" ref="M28" si="35">SUM(K28*L28)</f>
        <v>48284.992600000005</v>
      </c>
      <c r="N28" s="58">
        <f t="shared" ref="N28" si="36">SUM(M28)*0.9</f>
        <v>43456.493340000008</v>
      </c>
      <c r="O28" s="9">
        <f t="shared" ref="O28" si="37">SUM(M28)*1.1</f>
        <v>53113.491860000009</v>
      </c>
      <c r="P28" s="1">
        <f>SUM(L28*F28)</f>
        <v>456.95</v>
      </c>
      <c r="Q28" s="1">
        <f>SUM(P28*5)</f>
        <v>2284.75</v>
      </c>
      <c r="R28" s="1">
        <f>SUM(Q28/3.785)</f>
        <v>603.63276089828264</v>
      </c>
      <c r="S28" s="70">
        <f>SUM(R28*1.75)</f>
        <v>1056.3573315719946</v>
      </c>
      <c r="T28" s="70">
        <f>SUM(S28*4)</f>
        <v>4225.4293262879783</v>
      </c>
      <c r="U28" s="70">
        <f>SUM(S28*10)</f>
        <v>10563.573315719947</v>
      </c>
    </row>
    <row r="29" spans="1:21" ht="20.100000000000001" customHeight="1">
      <c r="A29" s="8" t="s">
        <v>13</v>
      </c>
      <c r="B29" s="52" t="s">
        <v>3</v>
      </c>
      <c r="C29" s="46">
        <v>2.5</v>
      </c>
      <c r="D29" s="2">
        <v>2.7</v>
      </c>
      <c r="E29" s="3">
        <f t="shared" ref="E29" si="38">SUM(C29:D29)/2</f>
        <v>2.6</v>
      </c>
      <c r="F29" s="3">
        <f>SUM(E29/24)*6</f>
        <v>0.65</v>
      </c>
      <c r="G29" s="3">
        <f t="shared" ref="G29" si="39">SUM(F29)*5</f>
        <v>3.25</v>
      </c>
      <c r="H29" s="3">
        <f>SUM(F29*200)</f>
        <v>130</v>
      </c>
      <c r="I29" s="65">
        <f t="shared" ref="I29" si="40">SUM(H29)*0.26417</f>
        <v>34.342100000000002</v>
      </c>
      <c r="J29" s="3">
        <f t="shared" ref="J29" si="41">SUM(I29)/5</f>
        <v>6.8684200000000004</v>
      </c>
      <c r="K29" s="43">
        <f>SUM(J29)*10</f>
        <v>68.684200000000004</v>
      </c>
      <c r="L29" s="72">
        <v>563</v>
      </c>
      <c r="M29" s="49">
        <f t="shared" ref="M29" si="42">SUM(K29*L29)</f>
        <v>38669.204600000005</v>
      </c>
      <c r="N29" s="58">
        <f t="shared" ref="N29" si="43">SUM(M29)*0.9</f>
        <v>34802.284140000003</v>
      </c>
      <c r="O29" s="9">
        <f t="shared" ref="O29" si="44">SUM(M29)*1.1</f>
        <v>42536.125060000006</v>
      </c>
      <c r="P29" s="1">
        <f>SUM(L29*F29)</f>
        <v>365.95</v>
      </c>
      <c r="Q29" s="1">
        <f>SUM(P29*5)</f>
        <v>1829.75</v>
      </c>
      <c r="R29" s="1">
        <f>SUM(Q29/3.785)</f>
        <v>483.42140026420077</v>
      </c>
      <c r="S29" s="70">
        <f>SUM(R29*1.75)</f>
        <v>845.98745046235138</v>
      </c>
      <c r="T29" s="70">
        <f>SUM(S29*4)</f>
        <v>3383.9498018494055</v>
      </c>
      <c r="U29" s="70">
        <f>SUM(S29*10)</f>
        <v>8459.8745046235144</v>
      </c>
    </row>
    <row r="30" spans="1:2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71">
        <f>SUM(L28:L29)</f>
        <v>1266</v>
      </c>
      <c r="M30" s="66">
        <f>SUM(M28:M29)</f>
        <v>86954.19720000001</v>
      </c>
      <c r="N30" s="66">
        <f t="shared" ref="N30" si="45">SUM(N28:N29)</f>
        <v>78258.777480000019</v>
      </c>
      <c r="O30" s="66">
        <f t="shared" ref="O30" si="46">SUM(O28:O29)</f>
        <v>95649.616920000015</v>
      </c>
      <c r="P30" s="1">
        <f t="shared" ref="P30:U30" si="47">SUM(P28:P29)</f>
        <v>822.9</v>
      </c>
      <c r="Q30" s="1">
        <f t="shared" si="47"/>
        <v>4114.5</v>
      </c>
      <c r="R30" s="1">
        <f t="shared" si="47"/>
        <v>1087.0541611624835</v>
      </c>
      <c r="S30" s="70">
        <f t="shared" si="47"/>
        <v>1902.3447820343458</v>
      </c>
      <c r="T30" s="70">
        <f t="shared" si="47"/>
        <v>7609.3791281373833</v>
      </c>
      <c r="U30" s="70">
        <f t="shared" si="47"/>
        <v>19023.447820343463</v>
      </c>
    </row>
    <row r="31" spans="1:21">
      <c r="P31" s="1">
        <f>SUM(P30/3.785)</f>
        <v>217.41083223249669</v>
      </c>
      <c r="R31" s="1">
        <f>SUM(R30/I37)</f>
        <v>1.4993850498792876</v>
      </c>
    </row>
    <row r="32" spans="1:21">
      <c r="M32" s="69">
        <f>SUM(M21-M30)</f>
        <v>-21738.549299999999</v>
      </c>
      <c r="N32" s="69">
        <f t="shared" ref="N32:O32" si="48">SUM(N21-N30)</f>
        <v>-19564.694370000012</v>
      </c>
      <c r="O32" s="69">
        <f t="shared" si="48"/>
        <v>-23912.40423</v>
      </c>
      <c r="P32" s="1">
        <f>SUM(I37/P31)</f>
        <v>3.3347004496293597</v>
      </c>
    </row>
    <row r="33" spans="3:16">
      <c r="P33" s="1">
        <f>SUM(200/P32)</f>
        <v>59.975401995171502</v>
      </c>
    </row>
    <row r="34" spans="3:16">
      <c r="L34" s="70">
        <f>SUM(L19*420)</f>
        <v>295260</v>
      </c>
      <c r="M34" s="69">
        <f>SUM(L34*0.2)</f>
        <v>59052</v>
      </c>
      <c r="P34" s="1">
        <f>SUM(P33*1200)</f>
        <v>71970.482394205799</v>
      </c>
    </row>
    <row r="35" spans="3:16">
      <c r="L35" s="70">
        <f>SUM(L20*420)</f>
        <v>236460</v>
      </c>
      <c r="M35" s="69">
        <f>SUM(L35*0.2)</f>
        <v>47292</v>
      </c>
    </row>
    <row r="36" spans="3:16">
      <c r="L36" s="70">
        <f>SUM(L34:L35)</f>
        <v>531720</v>
      </c>
      <c r="M36" s="70">
        <f>SUM(M34:M35)</f>
        <v>106344</v>
      </c>
    </row>
    <row r="37" spans="3:16">
      <c r="I37" s="1">
        <v>725</v>
      </c>
      <c r="J37" s="1" t="s">
        <v>33</v>
      </c>
      <c r="K37" s="1">
        <f>SUM(1268.75/I37)</f>
        <v>1.75</v>
      </c>
    </row>
    <row r="38" spans="3:16">
      <c r="I38" s="1">
        <f>SUM(I37*3.785)</f>
        <v>2744.125</v>
      </c>
      <c r="J38" s="1" t="s">
        <v>34</v>
      </c>
      <c r="K38" s="1">
        <v>200</v>
      </c>
    </row>
    <row r="39" spans="3:16">
      <c r="I39" s="1">
        <f>SUM(I38/L30)</f>
        <v>2.1675552922590837</v>
      </c>
    </row>
    <row r="40" spans="3:16">
      <c r="I40" s="1">
        <f>SUM(I39/F29)</f>
        <v>3.3347004496293593</v>
      </c>
    </row>
    <row r="41" spans="3:16" ht="45">
      <c r="C41" s="1" t="s">
        <v>45</v>
      </c>
      <c r="D41" s="1" t="s">
        <v>46</v>
      </c>
      <c r="E41" s="1" t="s">
        <v>42</v>
      </c>
      <c r="F41" s="1" t="s">
        <v>43</v>
      </c>
      <c r="G41" s="1" t="s">
        <v>44</v>
      </c>
    </row>
    <row r="42" spans="3:16">
      <c r="C42" s="73">
        <v>40645</v>
      </c>
      <c r="D42" s="74">
        <f>SUM(540+570+450)</f>
        <v>1560</v>
      </c>
      <c r="E42" s="74">
        <f>SUM(F28*L30)</f>
        <v>822.9</v>
      </c>
      <c r="F42" s="74">
        <f t="shared" ref="F42:F48" si="49">SUM(E42/3.785)</f>
        <v>217.41083223249669</v>
      </c>
      <c r="G42" s="74">
        <f t="shared" ref="G42:G48" si="50">SUM(D42/F42)</f>
        <v>7.1753554502369674</v>
      </c>
      <c r="H42" s="70">
        <v>2730</v>
      </c>
    </row>
    <row r="43" spans="3:16">
      <c r="C43" s="73">
        <v>40683</v>
      </c>
      <c r="D43" s="74">
        <v>750</v>
      </c>
      <c r="E43" s="74">
        <f t="shared" ref="E43:E48" si="51">SUM(E42)</f>
        <v>822.9</v>
      </c>
      <c r="F43" s="74">
        <f t="shared" si="49"/>
        <v>217.41083223249669</v>
      </c>
      <c r="G43" s="74">
        <f t="shared" si="50"/>
        <v>3.4496901203062342</v>
      </c>
      <c r="H43" s="70">
        <v>1312.5</v>
      </c>
    </row>
    <row r="44" spans="3:16">
      <c r="C44" s="73">
        <v>40708</v>
      </c>
      <c r="D44" s="74">
        <f>SUM(750+400)</f>
        <v>1150</v>
      </c>
      <c r="E44" s="74">
        <f t="shared" si="51"/>
        <v>822.9</v>
      </c>
      <c r="F44" s="74">
        <f t="shared" si="49"/>
        <v>217.41083223249669</v>
      </c>
      <c r="G44" s="74">
        <f t="shared" si="50"/>
        <v>5.2895248511362256</v>
      </c>
      <c r="H44" s="70">
        <v>2012.5</v>
      </c>
    </row>
    <row r="45" spans="3:16">
      <c r="C45" s="73">
        <v>40733</v>
      </c>
      <c r="D45" s="74">
        <v>450</v>
      </c>
      <c r="E45" s="74">
        <f t="shared" si="51"/>
        <v>822.9</v>
      </c>
      <c r="F45" s="74">
        <f t="shared" si="49"/>
        <v>217.41083223249669</v>
      </c>
      <c r="G45" s="74">
        <f t="shared" si="50"/>
        <v>2.0698140721837404</v>
      </c>
      <c r="H45" s="70">
        <v>787.5</v>
      </c>
    </row>
    <row r="46" spans="3:16">
      <c r="C46" s="73">
        <v>40819</v>
      </c>
      <c r="D46" s="74">
        <v>750</v>
      </c>
      <c r="E46" s="74">
        <f t="shared" si="51"/>
        <v>822.9</v>
      </c>
      <c r="F46" s="74">
        <f t="shared" si="49"/>
        <v>217.41083223249669</v>
      </c>
      <c r="G46" s="74">
        <f t="shared" si="50"/>
        <v>3.4496901203062342</v>
      </c>
      <c r="H46" s="70">
        <v>1500</v>
      </c>
    </row>
    <row r="47" spans="3:16">
      <c r="C47" s="73">
        <v>40834</v>
      </c>
      <c r="D47" s="74">
        <v>750</v>
      </c>
      <c r="E47" s="74">
        <f t="shared" si="51"/>
        <v>822.9</v>
      </c>
      <c r="F47" s="74">
        <f t="shared" si="49"/>
        <v>217.41083223249669</v>
      </c>
      <c r="G47" s="74">
        <f t="shared" si="50"/>
        <v>3.4496901203062342</v>
      </c>
      <c r="H47" s="70">
        <v>1500</v>
      </c>
    </row>
    <row r="48" spans="3:16">
      <c r="D48" s="74">
        <f>SUM(D42:D47)</f>
        <v>5410</v>
      </c>
      <c r="E48" s="74">
        <f t="shared" si="51"/>
        <v>822.9</v>
      </c>
      <c r="F48" s="74">
        <f t="shared" si="49"/>
        <v>217.41083223249669</v>
      </c>
      <c r="G48" s="74">
        <f t="shared" si="50"/>
        <v>24.883764734475637</v>
      </c>
      <c r="H48" s="70">
        <f>SUM(H42:H47)</f>
        <v>9842.5</v>
      </c>
    </row>
  </sheetData>
  <mergeCells count="47">
    <mergeCell ref="O17:O18"/>
    <mergeCell ref="A25:O25"/>
    <mergeCell ref="A26:A27"/>
    <mergeCell ref="B26:B27"/>
    <mergeCell ref="C26:E26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1:O1"/>
    <mergeCell ref="J9:K9"/>
    <mergeCell ref="N9:O9"/>
    <mergeCell ref="H9:H10"/>
    <mergeCell ref="I9:I10"/>
    <mergeCell ref="C2:E2"/>
    <mergeCell ref="O2:O3"/>
    <mergeCell ref="N2:N3"/>
    <mergeCell ref="M2:M3"/>
    <mergeCell ref="L9:M9"/>
    <mergeCell ref="F2:F3"/>
    <mergeCell ref="B2:B3"/>
    <mergeCell ref="A2:A3"/>
    <mergeCell ref="L2:L3"/>
    <mergeCell ref="K2:K3"/>
    <mergeCell ref="J2:J3"/>
    <mergeCell ref="I2:I3"/>
    <mergeCell ref="H2:H3"/>
    <mergeCell ref="G2:G3"/>
    <mergeCell ref="A16:O16"/>
    <mergeCell ref="A17:A18"/>
    <mergeCell ref="B17:B18"/>
    <mergeCell ref="C17:E17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scale="89" orientation="landscape" horizontalDpi="300" verticalDpi="300" r:id="rId1"/>
  <ignoredErrors>
    <ignoredError sqref="M6:O6 H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115" zoomScaleNormal="110" zoomScaleSheetLayoutView="11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3" sqref="B13"/>
    </sheetView>
  </sheetViews>
  <sheetFormatPr baseColWidth="10" defaultRowHeight="15"/>
  <cols>
    <col min="2" max="2" width="20.7109375" customWidth="1"/>
  </cols>
  <sheetData>
    <row r="1" spans="1:14" ht="14.1" customHeight="1" thickBot="1">
      <c r="A1" s="138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4.1" customHeight="1">
      <c r="A2" s="154" t="s">
        <v>14</v>
      </c>
      <c r="B2" s="156" t="s">
        <v>0</v>
      </c>
      <c r="C2" s="152" t="s">
        <v>23</v>
      </c>
      <c r="D2" s="152"/>
      <c r="E2" s="153"/>
      <c r="F2" s="152" t="s">
        <v>47</v>
      </c>
      <c r="G2" s="152"/>
      <c r="H2" s="153"/>
      <c r="I2" s="152" t="s">
        <v>48</v>
      </c>
      <c r="J2" s="152"/>
      <c r="K2" s="153"/>
      <c r="L2" s="152" t="s">
        <v>49</v>
      </c>
      <c r="M2" s="152"/>
      <c r="N2" s="153"/>
    </row>
    <row r="3" spans="1:14" ht="14.1" customHeight="1" thickBot="1">
      <c r="A3" s="155"/>
      <c r="B3" s="157"/>
      <c r="C3" s="75" t="s">
        <v>16</v>
      </c>
      <c r="D3" s="76" t="s">
        <v>17</v>
      </c>
      <c r="E3" s="76" t="s">
        <v>22</v>
      </c>
      <c r="F3" s="75" t="s">
        <v>16</v>
      </c>
      <c r="G3" s="76" t="s">
        <v>17</v>
      </c>
      <c r="H3" s="76" t="s">
        <v>22</v>
      </c>
      <c r="I3" s="75" t="s">
        <v>16</v>
      </c>
      <c r="J3" s="76" t="s">
        <v>17</v>
      </c>
      <c r="K3" s="76" t="s">
        <v>22</v>
      </c>
      <c r="L3" s="75" t="s">
        <v>16</v>
      </c>
      <c r="M3" s="76" t="s">
        <v>17</v>
      </c>
      <c r="N3" s="76" t="s">
        <v>22</v>
      </c>
    </row>
    <row r="4" spans="1:14" ht="14.1" customHeight="1">
      <c r="A4" s="77" t="s">
        <v>11</v>
      </c>
      <c r="B4" s="78" t="s">
        <v>1</v>
      </c>
      <c r="C4" s="79">
        <v>1.35</v>
      </c>
      <c r="D4" s="80">
        <v>1.8</v>
      </c>
      <c r="E4" s="80">
        <f>SUM(C4:D4)/2</f>
        <v>1.5750000000000002</v>
      </c>
      <c r="F4" s="81">
        <f>SUM(C4*0.26)</f>
        <v>0.35100000000000003</v>
      </c>
      <c r="G4" s="81">
        <f t="shared" ref="G4:G6" si="0">SUM(D4*0.26)</f>
        <v>0.46800000000000003</v>
      </c>
      <c r="H4" s="82">
        <f>SUM(F4:G4)/2</f>
        <v>0.40950000000000003</v>
      </c>
      <c r="I4" s="83">
        <f>SUM(F4*0.2)</f>
        <v>7.0200000000000012E-2</v>
      </c>
      <c r="J4" s="83">
        <f t="shared" ref="J4:J6" si="1">SUM(G4*0.2)</f>
        <v>9.3600000000000017E-2</v>
      </c>
      <c r="K4" s="84">
        <f>SUM(I4:J4)/2</f>
        <v>8.1900000000000014E-2</v>
      </c>
      <c r="L4" s="85">
        <f>SUM(C4/1000)</f>
        <v>1.3500000000000001E-3</v>
      </c>
      <c r="M4" s="85">
        <f t="shared" ref="M4:M6" si="2">SUM(D4/1000)</f>
        <v>1.8E-3</v>
      </c>
      <c r="N4" s="86">
        <f>SUM(L4:M4)/2</f>
        <v>1.575E-3</v>
      </c>
    </row>
    <row r="5" spans="1:14" ht="14.1" customHeight="1">
      <c r="A5" s="87" t="s">
        <v>12</v>
      </c>
      <c r="B5" s="88" t="s">
        <v>2</v>
      </c>
      <c r="C5" s="89">
        <v>1.8</v>
      </c>
      <c r="D5" s="90">
        <v>2.5</v>
      </c>
      <c r="E5" s="90">
        <f t="shared" ref="E5:E6" si="3">SUM(C5:D5)/2</f>
        <v>2.15</v>
      </c>
      <c r="F5" s="81">
        <f t="shared" ref="F5:F6" si="4">SUM(C5*0.26)</f>
        <v>0.46800000000000003</v>
      </c>
      <c r="G5" s="81">
        <f t="shared" si="0"/>
        <v>0.65</v>
      </c>
      <c r="H5" s="91">
        <f t="shared" ref="H5:H6" si="5">SUM(F5:G5)/2</f>
        <v>0.55900000000000005</v>
      </c>
      <c r="I5" s="83">
        <f t="shared" ref="I5:I6" si="6">SUM(F5*0.2)</f>
        <v>9.3600000000000017E-2</v>
      </c>
      <c r="J5" s="83">
        <f t="shared" si="1"/>
        <v>0.13</v>
      </c>
      <c r="K5" s="92">
        <f t="shared" ref="K5:K6" si="7">SUM(I5:J5)/2</f>
        <v>0.11180000000000001</v>
      </c>
      <c r="L5" s="85">
        <f t="shared" ref="L5:L6" si="8">SUM(C5/1000)</f>
        <v>1.8E-3</v>
      </c>
      <c r="M5" s="85">
        <f t="shared" si="2"/>
        <v>2.5000000000000001E-3</v>
      </c>
      <c r="N5" s="93">
        <f t="shared" ref="N5:N6" si="9">SUM(L5:M5)/2</f>
        <v>2.15E-3</v>
      </c>
    </row>
    <row r="6" spans="1:14" ht="14.1" customHeight="1">
      <c r="A6" s="87" t="s">
        <v>13</v>
      </c>
      <c r="B6" s="88" t="s">
        <v>3</v>
      </c>
      <c r="C6" s="89">
        <v>2.5</v>
      </c>
      <c r="D6" s="90">
        <v>2.7</v>
      </c>
      <c r="E6" s="90">
        <f t="shared" si="3"/>
        <v>2.6</v>
      </c>
      <c r="F6" s="81">
        <f t="shared" si="4"/>
        <v>0.65</v>
      </c>
      <c r="G6" s="81">
        <f t="shared" si="0"/>
        <v>0.70200000000000007</v>
      </c>
      <c r="H6" s="91">
        <f t="shared" si="5"/>
        <v>0.67600000000000005</v>
      </c>
      <c r="I6" s="83">
        <f t="shared" si="6"/>
        <v>0.13</v>
      </c>
      <c r="J6" s="83">
        <f t="shared" si="1"/>
        <v>0.14040000000000002</v>
      </c>
      <c r="K6" s="92">
        <f t="shared" si="7"/>
        <v>0.13520000000000001</v>
      </c>
      <c r="L6" s="85">
        <f t="shared" si="8"/>
        <v>2.5000000000000001E-3</v>
      </c>
      <c r="M6" s="85">
        <f t="shared" si="2"/>
        <v>2.7000000000000001E-3</v>
      </c>
      <c r="N6" s="93">
        <f t="shared" si="9"/>
        <v>2.5999999999999999E-3</v>
      </c>
    </row>
    <row r="7" spans="1:14" ht="5.0999999999999996" customHeight="1" thickBo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4.1" customHeight="1" thickBot="1">
      <c r="A8" s="144" t="s">
        <v>68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4" ht="5.0999999999999996" customHeight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4.1" customHeight="1" thickBot="1">
      <c r="A10" s="140" t="s">
        <v>64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ht="14.1" customHeight="1">
      <c r="A11" s="159" t="s">
        <v>14</v>
      </c>
      <c r="B11" s="161" t="s">
        <v>65</v>
      </c>
      <c r="C11" s="163" t="s">
        <v>59</v>
      </c>
      <c r="D11" s="163"/>
      <c r="E11" s="164"/>
      <c r="F11" s="163" t="s">
        <v>60</v>
      </c>
      <c r="G11" s="163"/>
      <c r="H11" s="164"/>
      <c r="I11" s="163" t="s">
        <v>61</v>
      </c>
      <c r="J11" s="163"/>
      <c r="K11" s="164"/>
      <c r="L11" s="163" t="s">
        <v>62</v>
      </c>
      <c r="M11" s="163"/>
      <c r="N11" s="164"/>
    </row>
    <row r="12" spans="1:14" ht="14.1" customHeight="1" thickBot="1">
      <c r="A12" s="160"/>
      <c r="B12" s="162"/>
      <c r="C12" s="95" t="s">
        <v>16</v>
      </c>
      <c r="D12" s="96" t="s">
        <v>17</v>
      </c>
      <c r="E12" s="96" t="s">
        <v>22</v>
      </c>
      <c r="F12" s="95" t="s">
        <v>16</v>
      </c>
      <c r="G12" s="96" t="s">
        <v>17</v>
      </c>
      <c r="H12" s="96" t="s">
        <v>22</v>
      </c>
      <c r="I12" s="95" t="s">
        <v>16</v>
      </c>
      <c r="J12" s="96" t="s">
        <v>17</v>
      </c>
      <c r="K12" s="96" t="s">
        <v>22</v>
      </c>
      <c r="L12" s="95" t="s">
        <v>16</v>
      </c>
      <c r="M12" s="96" t="s">
        <v>17</v>
      </c>
      <c r="N12" s="96" t="s">
        <v>22</v>
      </c>
    </row>
    <row r="13" spans="1:14" ht="14.1" customHeight="1">
      <c r="A13" s="97" t="s">
        <v>11</v>
      </c>
      <c r="B13" s="98">
        <v>0</v>
      </c>
      <c r="C13" s="79">
        <f>SUM((C4/24)*4)*B13</f>
        <v>0</v>
      </c>
      <c r="D13" s="79">
        <f>SUM((D4/24)*4)*B13</f>
        <v>0</v>
      </c>
      <c r="E13" s="80">
        <f>SUM(C13:D13)/2</f>
        <v>0</v>
      </c>
      <c r="F13" s="81">
        <f>SUM(C13*0.26)</f>
        <v>0</v>
      </c>
      <c r="G13" s="81">
        <f t="shared" ref="G13:G15" si="10">SUM(D13*0.26)</f>
        <v>0</v>
      </c>
      <c r="H13" s="82">
        <f>SUM(F13:G13)/2</f>
        <v>0</v>
      </c>
      <c r="I13" s="83">
        <f>SUM(F13*0.2)</f>
        <v>0</v>
      </c>
      <c r="J13" s="83">
        <f t="shared" ref="J13:J15" si="11">SUM(G13*0.2)</f>
        <v>0</v>
      </c>
      <c r="K13" s="84">
        <f>SUM(I13:J13)/2</f>
        <v>0</v>
      </c>
      <c r="L13" s="85">
        <f>SUM(C13/1000)</f>
        <v>0</v>
      </c>
      <c r="M13" s="85">
        <f t="shared" ref="M13:M15" si="12">SUM(D13/1000)</f>
        <v>0</v>
      </c>
      <c r="N13" s="86">
        <f>SUM(L13:M13)/2</f>
        <v>0</v>
      </c>
    </row>
    <row r="14" spans="1:14" ht="14.1" customHeight="1">
      <c r="A14" s="99" t="s">
        <v>12</v>
      </c>
      <c r="B14" s="100">
        <v>0</v>
      </c>
      <c r="C14" s="79">
        <f>SUM((C5/24)*5)*B14</f>
        <v>0</v>
      </c>
      <c r="D14" s="79">
        <f>SUM((D5/24)*5)*B14</f>
        <v>0</v>
      </c>
      <c r="E14" s="90">
        <f t="shared" ref="E14:E15" si="13">SUM(C14:D14)/2</f>
        <v>0</v>
      </c>
      <c r="F14" s="81">
        <f t="shared" ref="F14:F15" si="14">SUM(C14*0.26)</f>
        <v>0</v>
      </c>
      <c r="G14" s="81">
        <f t="shared" si="10"/>
        <v>0</v>
      </c>
      <c r="H14" s="91">
        <f t="shared" ref="H14:H15" si="15">SUM(F14:G14)/2</f>
        <v>0</v>
      </c>
      <c r="I14" s="83">
        <f t="shared" ref="I14:I15" si="16">SUM(F14*0.2)</f>
        <v>0</v>
      </c>
      <c r="J14" s="83">
        <f t="shared" si="11"/>
        <v>0</v>
      </c>
      <c r="K14" s="92">
        <f t="shared" ref="K14:K15" si="17">SUM(I14:J14)/2</f>
        <v>0</v>
      </c>
      <c r="L14" s="85">
        <f t="shared" ref="L14:L15" si="18">SUM(C14/1000)</f>
        <v>0</v>
      </c>
      <c r="M14" s="85">
        <f t="shared" si="12"/>
        <v>0</v>
      </c>
      <c r="N14" s="93">
        <f t="shared" ref="N14:N15" si="19">SUM(L14:M14)/2</f>
        <v>0</v>
      </c>
    </row>
    <row r="15" spans="1:14" ht="14.1" customHeight="1">
      <c r="A15" s="99" t="s">
        <v>13</v>
      </c>
      <c r="B15" s="100">
        <v>0</v>
      </c>
      <c r="C15" s="79">
        <f>SUM((C6/24)*6)*B15</f>
        <v>0</v>
      </c>
      <c r="D15" s="79">
        <f>SUM((D6/24)*6)*B15</f>
        <v>0</v>
      </c>
      <c r="E15" s="90">
        <f t="shared" si="13"/>
        <v>0</v>
      </c>
      <c r="F15" s="81">
        <f t="shared" si="14"/>
        <v>0</v>
      </c>
      <c r="G15" s="81">
        <f t="shared" si="10"/>
        <v>0</v>
      </c>
      <c r="H15" s="91">
        <f t="shared" si="15"/>
        <v>0</v>
      </c>
      <c r="I15" s="83">
        <f t="shared" si="16"/>
        <v>0</v>
      </c>
      <c r="J15" s="83">
        <f t="shared" si="11"/>
        <v>0</v>
      </c>
      <c r="K15" s="92">
        <f t="shared" si="17"/>
        <v>0</v>
      </c>
      <c r="L15" s="85">
        <f t="shared" si="18"/>
        <v>0</v>
      </c>
      <c r="M15" s="85">
        <f t="shared" si="12"/>
        <v>0</v>
      </c>
      <c r="N15" s="93">
        <f t="shared" si="19"/>
        <v>0</v>
      </c>
    </row>
    <row r="16" spans="1:14" ht="5.0999999999999996" customHeight="1" thickBo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14.1" customHeight="1" thickBot="1">
      <c r="A17" s="140" t="s">
        <v>66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14.1" customHeight="1">
      <c r="A18" s="148" t="s">
        <v>14</v>
      </c>
      <c r="B18" s="150" t="s">
        <v>50</v>
      </c>
      <c r="C18" s="146" t="s">
        <v>51</v>
      </c>
      <c r="D18" s="146"/>
      <c r="E18" s="147"/>
      <c r="F18" s="146" t="s">
        <v>52</v>
      </c>
      <c r="G18" s="146"/>
      <c r="H18" s="147"/>
      <c r="I18" s="146" t="s">
        <v>53</v>
      </c>
      <c r="J18" s="146"/>
      <c r="K18" s="147"/>
      <c r="L18" s="146" t="s">
        <v>54</v>
      </c>
      <c r="M18" s="146"/>
      <c r="N18" s="147"/>
    </row>
    <row r="19" spans="1:14" ht="14.1" customHeight="1" thickBot="1">
      <c r="A19" s="149"/>
      <c r="B19" s="151"/>
      <c r="C19" s="101" t="s">
        <v>16</v>
      </c>
      <c r="D19" s="102" t="s">
        <v>17</v>
      </c>
      <c r="E19" s="102" t="s">
        <v>22</v>
      </c>
      <c r="F19" s="101" t="s">
        <v>16</v>
      </c>
      <c r="G19" s="102" t="s">
        <v>17</v>
      </c>
      <c r="H19" s="102" t="s">
        <v>22</v>
      </c>
      <c r="I19" s="101" t="s">
        <v>16</v>
      </c>
      <c r="J19" s="102" t="s">
        <v>17</v>
      </c>
      <c r="K19" s="102" t="s">
        <v>22</v>
      </c>
      <c r="L19" s="101" t="s">
        <v>16</v>
      </c>
      <c r="M19" s="102" t="s">
        <v>17</v>
      </c>
      <c r="N19" s="102" t="s">
        <v>22</v>
      </c>
    </row>
    <row r="20" spans="1:14" ht="14.1" customHeight="1">
      <c r="A20" s="103" t="s">
        <v>11</v>
      </c>
      <c r="B20" s="104">
        <f>SUM(B13)</f>
        <v>0</v>
      </c>
      <c r="C20" s="79">
        <f>SUM(C13*5)</f>
        <v>0</v>
      </c>
      <c r="D20" s="79">
        <f t="shared" ref="D20:D22" si="20">SUM(D13*5)</f>
        <v>0</v>
      </c>
      <c r="E20" s="80">
        <f>SUM(C20:D20)/2</f>
        <v>0</v>
      </c>
      <c r="F20" s="81">
        <f>SUM(C20*0.26)</f>
        <v>0</v>
      </c>
      <c r="G20" s="81">
        <f t="shared" ref="G20:G22" si="21">SUM(D20*0.26)</f>
        <v>0</v>
      </c>
      <c r="H20" s="82">
        <f>SUM(F20:G20)/2</f>
        <v>0</v>
      </c>
      <c r="I20" s="83">
        <f>SUM(F20*0.2)</f>
        <v>0</v>
      </c>
      <c r="J20" s="83">
        <f t="shared" ref="J20:J22" si="22">SUM(G20*0.2)</f>
        <v>0</v>
      </c>
      <c r="K20" s="84">
        <f>SUM(I20:J20)/2</f>
        <v>0</v>
      </c>
      <c r="L20" s="85">
        <f>SUM(C20/1000)</f>
        <v>0</v>
      </c>
      <c r="M20" s="85">
        <f t="shared" ref="M20:M22" si="23">SUM(D20/1000)</f>
        <v>0</v>
      </c>
      <c r="N20" s="86">
        <f>SUM(L20:M20)/2</f>
        <v>0</v>
      </c>
    </row>
    <row r="21" spans="1:14" ht="14.1" customHeight="1">
      <c r="A21" s="105" t="s">
        <v>12</v>
      </c>
      <c r="B21" s="104">
        <f t="shared" ref="B21:B22" si="24">SUM(B14)</f>
        <v>0</v>
      </c>
      <c r="C21" s="79">
        <f t="shared" ref="C21" si="25">SUM(C14*5)</f>
        <v>0</v>
      </c>
      <c r="D21" s="79">
        <f t="shared" si="20"/>
        <v>0</v>
      </c>
      <c r="E21" s="90">
        <f t="shared" ref="E21:E22" si="26">SUM(C21:D21)/2</f>
        <v>0</v>
      </c>
      <c r="F21" s="81">
        <f t="shared" ref="F21:F22" si="27">SUM(C21*0.26)</f>
        <v>0</v>
      </c>
      <c r="G21" s="81">
        <f t="shared" si="21"/>
        <v>0</v>
      </c>
      <c r="H21" s="91">
        <f t="shared" ref="H21:H22" si="28">SUM(F21:G21)/2</f>
        <v>0</v>
      </c>
      <c r="I21" s="83">
        <f t="shared" ref="I21:I22" si="29">SUM(F21*0.2)</f>
        <v>0</v>
      </c>
      <c r="J21" s="83">
        <f t="shared" si="22"/>
        <v>0</v>
      </c>
      <c r="K21" s="92">
        <f t="shared" ref="K21:K22" si="30">SUM(I21:J21)/2</f>
        <v>0</v>
      </c>
      <c r="L21" s="85">
        <f t="shared" ref="L21:L22" si="31">SUM(C21/1000)</f>
        <v>0</v>
      </c>
      <c r="M21" s="85">
        <f t="shared" si="23"/>
        <v>0</v>
      </c>
      <c r="N21" s="93">
        <f t="shared" ref="N21:N22" si="32">SUM(L21:M21)/2</f>
        <v>0</v>
      </c>
    </row>
    <row r="22" spans="1:14" ht="14.1" customHeight="1">
      <c r="A22" s="105" t="s">
        <v>13</v>
      </c>
      <c r="B22" s="104">
        <f t="shared" si="24"/>
        <v>0</v>
      </c>
      <c r="C22" s="79">
        <f t="shared" ref="C22" si="33">SUM(C15*5)</f>
        <v>0</v>
      </c>
      <c r="D22" s="79">
        <f t="shared" si="20"/>
        <v>0</v>
      </c>
      <c r="E22" s="90">
        <f t="shared" si="26"/>
        <v>0</v>
      </c>
      <c r="F22" s="81">
        <f t="shared" si="27"/>
        <v>0</v>
      </c>
      <c r="G22" s="81">
        <f t="shared" si="21"/>
        <v>0</v>
      </c>
      <c r="H22" s="91">
        <f t="shared" si="28"/>
        <v>0</v>
      </c>
      <c r="I22" s="83">
        <f t="shared" si="29"/>
        <v>0</v>
      </c>
      <c r="J22" s="83">
        <f t="shared" si="22"/>
        <v>0</v>
      </c>
      <c r="K22" s="92">
        <f t="shared" si="30"/>
        <v>0</v>
      </c>
      <c r="L22" s="85">
        <f t="shared" si="31"/>
        <v>0</v>
      </c>
      <c r="M22" s="85">
        <f t="shared" si="23"/>
        <v>0</v>
      </c>
      <c r="N22" s="93">
        <f t="shared" si="32"/>
        <v>0</v>
      </c>
    </row>
    <row r="23" spans="1:14" ht="5.0999999999999996" customHeight="1" thickBo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4" ht="14.1" customHeight="1" thickBot="1">
      <c r="A24" s="142" t="s">
        <v>67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</row>
    <row r="25" spans="1:14" ht="14.1" customHeight="1">
      <c r="A25" s="148" t="s">
        <v>14</v>
      </c>
      <c r="B25" s="150" t="s">
        <v>50</v>
      </c>
      <c r="C25" s="146" t="s">
        <v>55</v>
      </c>
      <c r="D25" s="146"/>
      <c r="E25" s="147"/>
      <c r="F25" s="146" t="s">
        <v>56</v>
      </c>
      <c r="G25" s="146"/>
      <c r="H25" s="147"/>
      <c r="I25" s="146" t="s">
        <v>57</v>
      </c>
      <c r="J25" s="146"/>
      <c r="K25" s="147"/>
      <c r="L25" s="146" t="s">
        <v>58</v>
      </c>
      <c r="M25" s="146"/>
      <c r="N25" s="147"/>
    </row>
    <row r="26" spans="1:14" ht="14.1" customHeight="1" thickBot="1">
      <c r="A26" s="149"/>
      <c r="B26" s="151"/>
      <c r="C26" s="101" t="s">
        <v>16</v>
      </c>
      <c r="D26" s="102" t="s">
        <v>17</v>
      </c>
      <c r="E26" s="102" t="s">
        <v>22</v>
      </c>
      <c r="F26" s="101" t="s">
        <v>16</v>
      </c>
      <c r="G26" s="102" t="s">
        <v>17</v>
      </c>
      <c r="H26" s="102" t="s">
        <v>22</v>
      </c>
      <c r="I26" s="101" t="s">
        <v>16</v>
      </c>
      <c r="J26" s="102" t="s">
        <v>17</v>
      </c>
      <c r="K26" s="102" t="s">
        <v>22</v>
      </c>
      <c r="L26" s="101" t="s">
        <v>16</v>
      </c>
      <c r="M26" s="102" t="s">
        <v>17</v>
      </c>
      <c r="N26" s="102" t="s">
        <v>22</v>
      </c>
    </row>
    <row r="27" spans="1:14" ht="14.1" customHeight="1">
      <c r="A27" s="103" t="s">
        <v>11</v>
      </c>
      <c r="B27" s="104">
        <f>SUM(B20)</f>
        <v>0</v>
      </c>
      <c r="C27" s="79">
        <f>SUM(C13*200)</f>
        <v>0</v>
      </c>
      <c r="D27" s="79">
        <f t="shared" ref="D27:D29" si="34">SUM(D13*200)</f>
        <v>0</v>
      </c>
      <c r="E27" s="80">
        <f>SUM(C27:D27)/2</f>
        <v>0</v>
      </c>
      <c r="F27" s="81">
        <f>SUM(C27*0.26)</f>
        <v>0</v>
      </c>
      <c r="G27" s="81">
        <f t="shared" ref="G27:G29" si="35">SUM(D27*0.26)</f>
        <v>0</v>
      </c>
      <c r="H27" s="82">
        <f>SUM(F27:G27)/2</f>
        <v>0</v>
      </c>
      <c r="I27" s="83">
        <f>SUM(F27*0.2)</f>
        <v>0</v>
      </c>
      <c r="J27" s="83">
        <f t="shared" ref="J27:J29" si="36">SUM(G27*0.2)</f>
        <v>0</v>
      </c>
      <c r="K27" s="84">
        <f>SUM(I27:J27)/2</f>
        <v>0</v>
      </c>
      <c r="L27" s="85">
        <f>SUM(C27/1000)</f>
        <v>0</v>
      </c>
      <c r="M27" s="85">
        <f t="shared" ref="M27:M29" si="37">SUM(D27/1000)</f>
        <v>0</v>
      </c>
      <c r="N27" s="86">
        <f>SUM(L27:M27)/2</f>
        <v>0</v>
      </c>
    </row>
    <row r="28" spans="1:14" ht="14.1" customHeight="1">
      <c r="A28" s="105" t="s">
        <v>12</v>
      </c>
      <c r="B28" s="104">
        <f t="shared" ref="B28:B29" si="38">SUM(B21)</f>
        <v>0</v>
      </c>
      <c r="C28" s="79">
        <f t="shared" ref="C28" si="39">SUM(C14*200)</f>
        <v>0</v>
      </c>
      <c r="D28" s="79">
        <f t="shared" si="34"/>
        <v>0</v>
      </c>
      <c r="E28" s="90">
        <f t="shared" ref="E28:E29" si="40">SUM(C28:D28)/2</f>
        <v>0</v>
      </c>
      <c r="F28" s="81">
        <f t="shared" ref="F28:F29" si="41">SUM(C28*0.26)</f>
        <v>0</v>
      </c>
      <c r="G28" s="81">
        <f t="shared" si="35"/>
        <v>0</v>
      </c>
      <c r="H28" s="91">
        <f t="shared" ref="H28:H29" si="42">SUM(F28:G28)/2</f>
        <v>0</v>
      </c>
      <c r="I28" s="83">
        <f t="shared" ref="I28:I29" si="43">SUM(F28*0.2)</f>
        <v>0</v>
      </c>
      <c r="J28" s="83">
        <f t="shared" si="36"/>
        <v>0</v>
      </c>
      <c r="K28" s="92">
        <f t="shared" ref="K28:K29" si="44">SUM(I28:J28)/2</f>
        <v>0</v>
      </c>
      <c r="L28" s="85">
        <f t="shared" ref="L28:L29" si="45">SUM(C28/1000)</f>
        <v>0</v>
      </c>
      <c r="M28" s="85">
        <f t="shared" si="37"/>
        <v>0</v>
      </c>
      <c r="N28" s="93">
        <f t="shared" ref="N28:N29" si="46">SUM(L28:M28)/2</f>
        <v>0</v>
      </c>
    </row>
    <row r="29" spans="1:14" ht="14.1" customHeight="1">
      <c r="A29" s="105" t="s">
        <v>13</v>
      </c>
      <c r="B29" s="104">
        <f t="shared" si="38"/>
        <v>0</v>
      </c>
      <c r="C29" s="79">
        <f t="shared" ref="C29" si="47">SUM(C15*200)</f>
        <v>0</v>
      </c>
      <c r="D29" s="79">
        <f t="shared" si="34"/>
        <v>0</v>
      </c>
      <c r="E29" s="90">
        <f t="shared" si="40"/>
        <v>0</v>
      </c>
      <c r="F29" s="81">
        <f t="shared" si="41"/>
        <v>0</v>
      </c>
      <c r="G29" s="81">
        <f t="shared" si="35"/>
        <v>0</v>
      </c>
      <c r="H29" s="91">
        <f t="shared" si="42"/>
        <v>0</v>
      </c>
      <c r="I29" s="83">
        <f t="shared" si="43"/>
        <v>0</v>
      </c>
      <c r="J29" s="83">
        <f t="shared" si="36"/>
        <v>0</v>
      </c>
      <c r="K29" s="92">
        <f t="shared" si="44"/>
        <v>0</v>
      </c>
      <c r="L29" s="85">
        <f t="shared" si="45"/>
        <v>0</v>
      </c>
      <c r="M29" s="85">
        <f t="shared" si="37"/>
        <v>0</v>
      </c>
      <c r="N29" s="93">
        <f t="shared" si="46"/>
        <v>0</v>
      </c>
    </row>
    <row r="30" spans="1:14" ht="5.0999999999999996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4.1" customHeight="1">
      <c r="A31" s="158" t="s">
        <v>69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</row>
    <row r="32" spans="1:14" ht="14.1" customHeight="1">
      <c r="A32" s="137" t="s">
        <v>14</v>
      </c>
      <c r="B32" s="137" t="s">
        <v>50</v>
      </c>
      <c r="C32" s="137" t="s">
        <v>34</v>
      </c>
      <c r="D32" s="137"/>
      <c r="E32" s="137"/>
      <c r="F32" s="137" t="s">
        <v>33</v>
      </c>
      <c r="G32" s="137"/>
      <c r="H32" s="137"/>
      <c r="I32" s="137" t="s">
        <v>70</v>
      </c>
      <c r="J32" s="137"/>
      <c r="K32" s="137"/>
      <c r="L32" s="137" t="s">
        <v>71</v>
      </c>
      <c r="M32" s="137"/>
      <c r="N32" s="137"/>
    </row>
    <row r="33" spans="1:14" ht="14.1" customHeight="1">
      <c r="A33" s="137"/>
      <c r="B33" s="137"/>
      <c r="C33" s="136" t="s">
        <v>72</v>
      </c>
      <c r="D33" s="136"/>
      <c r="E33" s="110"/>
      <c r="F33" s="136" t="s">
        <v>72</v>
      </c>
      <c r="G33" s="136"/>
      <c r="H33" s="110">
        <v>0</v>
      </c>
      <c r="I33" s="136" t="s">
        <v>72</v>
      </c>
      <c r="J33" s="136"/>
      <c r="K33" s="110">
        <v>0</v>
      </c>
      <c r="L33" s="136" t="s">
        <v>72</v>
      </c>
      <c r="M33" s="136"/>
      <c r="N33" s="110">
        <v>0</v>
      </c>
    </row>
    <row r="34" spans="1:14" ht="14.1" customHeight="1">
      <c r="A34" s="106" t="s">
        <v>11</v>
      </c>
      <c r="B34" s="107">
        <f>SUM(B27)</f>
        <v>0</v>
      </c>
      <c r="C34" s="108">
        <f>SUM(C27*E33)</f>
        <v>0</v>
      </c>
      <c r="D34" s="108">
        <f>SUM(D27*E33)</f>
        <v>0</v>
      </c>
      <c r="E34" s="108">
        <f>SUM(C34:D34)/2</f>
        <v>0</v>
      </c>
      <c r="F34" s="108">
        <f>SUM(F27*H33)</f>
        <v>0</v>
      </c>
      <c r="G34" s="108">
        <f>SUM(G27*H33)</f>
        <v>0</v>
      </c>
      <c r="H34" s="109">
        <f>SUM(F34:G34)/2</f>
        <v>0</v>
      </c>
      <c r="I34" s="108">
        <f>SUM(I27*K33)</f>
        <v>0</v>
      </c>
      <c r="J34" s="108">
        <f>SUM(J27*K33)</f>
        <v>0</v>
      </c>
      <c r="K34" s="109">
        <f>SUM(I34:J34)/2</f>
        <v>0</v>
      </c>
      <c r="L34" s="108">
        <f>SUM(L27*N33)</f>
        <v>0</v>
      </c>
      <c r="M34" s="108">
        <f>SUM(M27*N33)</f>
        <v>0</v>
      </c>
      <c r="N34" s="109">
        <f>SUM(L34:M34)/2</f>
        <v>0</v>
      </c>
    </row>
    <row r="35" spans="1:14" ht="14.1" customHeight="1">
      <c r="A35" s="106" t="s">
        <v>12</v>
      </c>
      <c r="B35" s="107">
        <f t="shared" ref="B35:B36" si="48">SUM(B28)</f>
        <v>0</v>
      </c>
      <c r="C35" s="108">
        <f>SUM(C28*E33)</f>
        <v>0</v>
      </c>
      <c r="D35" s="108">
        <f>SUM(D28*E33)</f>
        <v>0</v>
      </c>
      <c r="E35" s="108">
        <f t="shared" ref="E35:E36" si="49">SUM(C35:D35)/2</f>
        <v>0</v>
      </c>
      <c r="F35" s="108">
        <f>SUM(F28*H33)</f>
        <v>0</v>
      </c>
      <c r="G35" s="108">
        <f>SUM(G28*H33)</f>
        <v>0</v>
      </c>
      <c r="H35" s="109">
        <f t="shared" ref="H35:H36" si="50">SUM(F35:G35)/2</f>
        <v>0</v>
      </c>
      <c r="I35" s="108">
        <f>SUM(I28*K33)</f>
        <v>0</v>
      </c>
      <c r="J35" s="108">
        <f>SUM(J28*K33)</f>
        <v>0</v>
      </c>
      <c r="K35" s="109">
        <f t="shared" ref="K35:K36" si="51">SUM(I35:J35)/2</f>
        <v>0</v>
      </c>
      <c r="L35" s="108">
        <f>SUM(L28*N33)</f>
        <v>0</v>
      </c>
      <c r="M35" s="108">
        <f>SUM(M28*N33)</f>
        <v>0</v>
      </c>
      <c r="N35" s="109">
        <f t="shared" ref="N35:N36" si="52">SUM(L35:M35)/2</f>
        <v>0</v>
      </c>
    </row>
    <row r="36" spans="1:14" ht="14.1" customHeight="1">
      <c r="A36" s="106" t="s">
        <v>13</v>
      </c>
      <c r="B36" s="107">
        <f t="shared" si="48"/>
        <v>0</v>
      </c>
      <c r="C36" s="108">
        <f>SUM(C29*E33)</f>
        <v>0</v>
      </c>
      <c r="D36" s="108">
        <f>SUM(D29*E33)</f>
        <v>0</v>
      </c>
      <c r="E36" s="108">
        <f t="shared" si="49"/>
        <v>0</v>
      </c>
      <c r="F36" s="108">
        <f>SUM(F29*H33)</f>
        <v>0</v>
      </c>
      <c r="G36" s="108">
        <f>SUM(G29*H33)</f>
        <v>0</v>
      </c>
      <c r="H36" s="109">
        <f t="shared" si="50"/>
        <v>0</v>
      </c>
      <c r="I36" s="108">
        <f>SUM(I29*K33)</f>
        <v>0</v>
      </c>
      <c r="J36" s="108">
        <f>SUM(J29*K33)</f>
        <v>0</v>
      </c>
      <c r="K36" s="109">
        <f t="shared" si="51"/>
        <v>0</v>
      </c>
      <c r="L36" s="108">
        <f>SUM(L29*N33)</f>
        <v>0</v>
      </c>
      <c r="M36" s="108">
        <f>SUM(M29*N33)</f>
        <v>0</v>
      </c>
      <c r="N36" s="109">
        <f t="shared" si="52"/>
        <v>0</v>
      </c>
    </row>
  </sheetData>
  <sheetProtection password="B864" sheet="1" objects="1" scenarios="1"/>
  <mergeCells count="40">
    <mergeCell ref="A31:N31"/>
    <mergeCell ref="A11:A12"/>
    <mergeCell ref="B11:B12"/>
    <mergeCell ref="C11:E11"/>
    <mergeCell ref="F11:H11"/>
    <mergeCell ref="I11:K11"/>
    <mergeCell ref="L11:N11"/>
    <mergeCell ref="A25:A26"/>
    <mergeCell ref="B25:B26"/>
    <mergeCell ref="C25:E25"/>
    <mergeCell ref="F25:H25"/>
    <mergeCell ref="I25:K25"/>
    <mergeCell ref="L25:N25"/>
    <mergeCell ref="C18:E18"/>
    <mergeCell ref="F18:H18"/>
    <mergeCell ref="I18:K18"/>
    <mergeCell ref="A1:N1"/>
    <mergeCell ref="A10:N10"/>
    <mergeCell ref="A17:N17"/>
    <mergeCell ref="A24:N24"/>
    <mergeCell ref="A8:N8"/>
    <mergeCell ref="L18:N18"/>
    <mergeCell ref="A18:A19"/>
    <mergeCell ref="B18:B19"/>
    <mergeCell ref="F2:H2"/>
    <mergeCell ref="I2:K2"/>
    <mergeCell ref="L2:N2"/>
    <mergeCell ref="A2:A3"/>
    <mergeCell ref="B2:B3"/>
    <mergeCell ref="C2:E2"/>
    <mergeCell ref="C33:D33"/>
    <mergeCell ref="F33:G33"/>
    <mergeCell ref="I33:J33"/>
    <mergeCell ref="L33:M33"/>
    <mergeCell ref="A32:A33"/>
    <mergeCell ref="B32:B33"/>
    <mergeCell ref="C32:E32"/>
    <mergeCell ref="F32:H32"/>
    <mergeCell ref="I32:K32"/>
    <mergeCell ref="L32:N32"/>
  </mergeCells>
  <printOptions horizontalCentered="1"/>
  <pageMargins left="0.19685039370078741" right="0.19685039370078741" top="0.74803149606299213" bottom="0.74803149606299213" header="0.31496062992125984" footer="0.31496062992125984"/>
  <pageSetup scale="75" orientation="landscape" r:id="rId1"/>
  <ignoredErrors>
    <ignoredError sqref="H4:H6 C14:D14" formula="1"/>
    <ignoredError sqref="E20:N20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view="pageBreakPreview" zoomScale="130" zoomScaleNormal="190" zoomScaleSheetLayoutView="130" workbookViewId="0">
      <selection activeCell="K32" sqref="K32"/>
    </sheetView>
  </sheetViews>
  <sheetFormatPr baseColWidth="10" defaultRowHeight="15"/>
  <sheetData>
    <row r="2" spans="1:8" ht="30">
      <c r="B2" s="112" t="s">
        <v>73</v>
      </c>
      <c r="C2" s="112" t="s">
        <v>74</v>
      </c>
      <c r="H2">
        <v>138000</v>
      </c>
    </row>
    <row r="3" spans="1:8">
      <c r="B3" s="111">
        <v>1000</v>
      </c>
      <c r="C3" s="111">
        <v>600</v>
      </c>
      <c r="H3">
        <f>SUM(H2/1111)</f>
        <v>124.21242124212421</v>
      </c>
    </row>
    <row r="4" spans="1:8">
      <c r="B4" s="111">
        <v>2000</v>
      </c>
      <c r="C4" s="111">
        <v>1094</v>
      </c>
      <c r="H4">
        <f>SUM(H3/200)</f>
        <v>0.62106210621062108</v>
      </c>
    </row>
    <row r="5" spans="1:8">
      <c r="B5" s="111">
        <v>903</v>
      </c>
      <c r="C5" s="111">
        <v>900</v>
      </c>
    </row>
    <row r="6" spans="1:8">
      <c r="B6" s="111">
        <v>1762</v>
      </c>
      <c r="C6" s="111">
        <f>SUM(30*0.6)</f>
        <v>18</v>
      </c>
    </row>
    <row r="7" spans="1:8">
      <c r="B7" s="111">
        <v>878</v>
      </c>
      <c r="C7" s="111">
        <f>SUM(24*0.6)</f>
        <v>14.399999999999999</v>
      </c>
    </row>
    <row r="8" spans="1:8">
      <c r="B8" s="111">
        <v>1000</v>
      </c>
      <c r="C8" s="111">
        <f>SUM(90*0.6)</f>
        <v>54</v>
      </c>
    </row>
    <row r="9" spans="1:8">
      <c r="B9" s="111">
        <v>950</v>
      </c>
      <c r="C9" s="111"/>
    </row>
    <row r="10" spans="1:8">
      <c r="A10" t="s">
        <v>75</v>
      </c>
      <c r="B10" s="111">
        <v>2000</v>
      </c>
      <c r="C10" s="111"/>
    </row>
    <row r="11" spans="1:8">
      <c r="B11" s="111">
        <f>SUM(B3:B10)</f>
        <v>10493</v>
      </c>
      <c r="C11" s="111">
        <f>SUM(C3:C9)</f>
        <v>2680.4</v>
      </c>
      <c r="D11" s="111">
        <f>SUM(B11:C11)</f>
        <v>13173.4</v>
      </c>
      <c r="E11" t="s">
        <v>76</v>
      </c>
    </row>
    <row r="12" spans="1:8">
      <c r="D12" s="111">
        <f>SUM(D11/1111)</f>
        <v>11.857245724572456</v>
      </c>
      <c r="E12" t="s">
        <v>77</v>
      </c>
    </row>
    <row r="13" spans="1:8">
      <c r="D13" s="111">
        <f>SUM(D12/200)</f>
        <v>5.9286228622862279E-2</v>
      </c>
      <c r="E13" t="s">
        <v>78</v>
      </c>
      <c r="H13">
        <f>SUM(H4/D13)</f>
        <v>10.475655487573444</v>
      </c>
    </row>
  </sheetData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CONVERTIDOR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jmerida</dc:creator>
  <cp:lastModifiedBy>Jorge Tomás Mérida Sotelo</cp:lastModifiedBy>
  <cp:lastPrinted>2011-12-15T22:50:45Z</cp:lastPrinted>
  <dcterms:created xsi:type="dcterms:W3CDTF">2011-01-17T21:20:44Z</dcterms:created>
  <dcterms:modified xsi:type="dcterms:W3CDTF">2012-02-24T18:33:25Z</dcterms:modified>
</cp:coreProperties>
</file>